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comments9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nhermans\Documents\DT4GS\"/>
    </mc:Choice>
  </mc:AlternateContent>
  <xr:revisionPtr revIDLastSave="0" documentId="13_ncr:1_{01E4296A-1AD7-4953-8D3A-102FB6574C03}" xr6:coauthVersionLast="47" xr6:coauthVersionMax="47" xr10:uidLastSave="{00000000-0000-0000-0000-000000000000}"/>
  <bookViews>
    <workbookView xWindow="-120" yWindow="-120" windowWidth="29040" windowHeight="15840" firstSheet="8" activeTab="8" xr2:uid="{FEB2169D-F371-4783-B1DB-501DDA61D207}"/>
  </bookViews>
  <sheets>
    <sheet name="Towing kite (P)" sheetId="2" r:id="rId1"/>
    <sheet name="DynaRig Sail (P)" sheetId="6" r:id="rId2"/>
    <sheet name="Rotor (P)" sheetId="8" r:id="rId3"/>
    <sheet name="Hull coating (P)" sheetId="9" r:id="rId4"/>
    <sheet name="new_tech (P)" sheetId="11" r:id="rId5"/>
    <sheet name="new_tech2 (P)" sheetId="12" r:id="rId6"/>
    <sheet name="new_tech3 (P)" sheetId="14" r:id="rId7"/>
    <sheet name="new_tech4 (P)" sheetId="13" r:id="rId8"/>
    <sheet name="Main info GS techs" sheetId="5" r:id="rId9"/>
    <sheet name="Costs C" sheetId="1" r:id="rId10"/>
  </sheets>
  <definedNames>
    <definedName name="costC_bulk_max">'Costs C'!$C$49</definedName>
    <definedName name="CostC_bulk_min">'Costs C'!$B$49</definedName>
    <definedName name="ExternalData_1" localSheetId="8" hidden="1">'Main info GS techs'!#REF!</definedName>
    <definedName name="Hull_c_type_ddown" localSheetId="4">Hull_c_type[Hull coating type]</definedName>
    <definedName name="Hull_c_type_ddown" localSheetId="5">Hull_c_type[Hull coating type]</definedName>
    <definedName name="Hull_c_type_ddown" localSheetId="6">Hull_c_type[Hull coating type]</definedName>
    <definedName name="Hull_c_type_ddown" localSheetId="7">Hull_c_type[Hull coating type]</definedName>
    <definedName name="Hull_c_type_ddown">Hull_c_type[Hull coating type]</definedName>
    <definedName name="Kite_ddown" localSheetId="1">Kite_Charac[Kite characteristic]</definedName>
    <definedName name="Kite_ddown" localSheetId="3">Kite_Charac[Kite characteristic]</definedName>
    <definedName name="Kite_ddown" localSheetId="4">Kite_Charac[Kite characteristic]</definedName>
    <definedName name="Kite_ddown" localSheetId="5">Kite_Charac[Kite characteristic]</definedName>
    <definedName name="Kite_ddown" localSheetId="6">Kite_Charac[Kite characteristic]</definedName>
    <definedName name="Kite_ddown" localSheetId="7">Kite_Charac[Kite characteristic]</definedName>
    <definedName name="Kite_ddown" localSheetId="2">Kite_Charac[Kite characteristic]</definedName>
    <definedName name="Kite_ddown">Kite_Charac[Kite characteristic]</definedName>
    <definedName name="LL1_costC_min" comment="Crude oil tanker">'Costs C'!$B$11</definedName>
    <definedName name="LL1_costsC_max" comment="crude oil tanker">'Costs C'!$C$11</definedName>
    <definedName name="LL2_costsC_max" comment="container vessel">'Costs C'!$C$24</definedName>
    <definedName name="LL2_costsC_min" comment="container vessel">'Costs C'!$B$24</definedName>
    <definedName name="LL3_costsC_max" comment="ropax">'Costs C'!$C$37</definedName>
    <definedName name="LL3_costsC_min" comment="ropax">'Costs C'!$B$37</definedName>
    <definedName name="LL4_costsC_max" comment="bulk carrier">'Costs C'!$C$49</definedName>
    <definedName name="LL4_costsC_min" comment="bulk carrier">'Costs C'!$B$49</definedName>
    <definedName name="new_ddown" localSheetId="5">New_tech[new_tech1 characteristic]</definedName>
    <definedName name="new_ddown" localSheetId="6">New_tech[new_tech1 characteristic]</definedName>
    <definedName name="new_ddown" localSheetId="7">New_tech[new_tech1 characteristic]</definedName>
    <definedName name="new_ddown">New_tech[new_tech1 characteristic]</definedName>
    <definedName name="new_ddown2">New_tech2[new_tech2 characteristic2]</definedName>
    <definedName name="new_ddown3">New_tech3[new_tech3 characteristic3]</definedName>
    <definedName name="new_ddown4">New_tech4[new_tech4 characteristic4]</definedName>
    <definedName name="Rotor_ddown" localSheetId="1">Rotor_Charac[Rotor characteristic]</definedName>
    <definedName name="Rotor_ddown" localSheetId="3">Rotor_Charac[Rotor characteristic]</definedName>
    <definedName name="Rotor_ddown" localSheetId="4">Rotor_Charac[Rotor characteristic]</definedName>
    <definedName name="Rotor_ddown" localSheetId="5">Rotor_Charac[Rotor characteristic]</definedName>
    <definedName name="Rotor_ddown" localSheetId="6">Rotor_Charac[Rotor characteristic]</definedName>
    <definedName name="Rotor_ddown" localSheetId="7">Rotor_Charac[Rotor characteristic]</definedName>
    <definedName name="Rotor_ddown" localSheetId="2">Rotor_Charac[Rotor characteristic]</definedName>
    <definedName name="Rotor_ddown">Rotor_Charac[Rotor characteristic]</definedName>
    <definedName name="Sail_ddown" localSheetId="1">Sail_Charac[Sail characteristic]</definedName>
    <definedName name="Sail_ddown" localSheetId="3">Sail_Charac[Sail characteristic]</definedName>
    <definedName name="Sail_ddown" localSheetId="4">Sail_Charac[Sail characteristic]</definedName>
    <definedName name="Sail_ddown" localSheetId="5">Sail_Charac[Sail characteristic]</definedName>
    <definedName name="Sail_ddown" localSheetId="6">Sail_Charac[Sail characteristic]</definedName>
    <definedName name="Sail_ddown" localSheetId="7">Sail_Charac[Sail characteristic]</definedName>
    <definedName name="Sail_ddown" localSheetId="2">Sail_Charac[Sail characteristic]</definedName>
    <definedName name="Sail_ddown">Sail_Charac[Sail characteristic]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C7" i="13"/>
  <c r="G6" i="13" s="1"/>
  <c r="B8" i="13"/>
  <c r="B7" i="13"/>
  <c r="F6" i="13" s="1"/>
  <c r="C8" i="14"/>
  <c r="C7" i="14"/>
  <c r="G6" i="14" s="1"/>
  <c r="B8" i="14"/>
  <c r="B7" i="14"/>
  <c r="C8" i="12"/>
  <c r="C7" i="12"/>
  <c r="B8" i="12"/>
  <c r="B7" i="12"/>
  <c r="C26" i="14"/>
  <c r="C27" i="14" s="1"/>
  <c r="G25" i="14" s="1"/>
  <c r="B26" i="14"/>
  <c r="B27" i="14" s="1"/>
  <c r="F25" i="14" s="1"/>
  <c r="C22" i="14"/>
  <c r="C23" i="14" s="1"/>
  <c r="G21" i="14" s="1"/>
  <c r="B22" i="14"/>
  <c r="B23" i="14" s="1"/>
  <c r="F21" i="14" s="1"/>
  <c r="C19" i="14"/>
  <c r="G17" i="14" s="1"/>
  <c r="B19" i="14"/>
  <c r="F17" i="14" s="1"/>
  <c r="C18" i="14"/>
  <c r="B18" i="14"/>
  <c r="C15" i="14"/>
  <c r="G13" i="14" s="1"/>
  <c r="B15" i="14"/>
  <c r="F13" i="14" s="1"/>
  <c r="C14" i="14"/>
  <c r="B14" i="14"/>
  <c r="C26" i="13"/>
  <c r="C27" i="13" s="1"/>
  <c r="G25" i="13" s="1"/>
  <c r="B26" i="13"/>
  <c r="B27" i="13" s="1"/>
  <c r="F25" i="13" s="1"/>
  <c r="C22" i="13"/>
  <c r="C23" i="13" s="1"/>
  <c r="G21" i="13" s="1"/>
  <c r="B22" i="13"/>
  <c r="B23" i="13" s="1"/>
  <c r="F21" i="13" s="1"/>
  <c r="C19" i="13"/>
  <c r="G17" i="13" s="1"/>
  <c r="B19" i="13"/>
  <c r="F17" i="13" s="1"/>
  <c r="C18" i="13"/>
  <c r="B18" i="13"/>
  <c r="C15" i="13"/>
  <c r="G13" i="13" s="1"/>
  <c r="B15" i="13"/>
  <c r="F13" i="13" s="1"/>
  <c r="C14" i="13"/>
  <c r="B14" i="13"/>
  <c r="C26" i="12"/>
  <c r="C27" i="12" s="1"/>
  <c r="G25" i="12" s="1"/>
  <c r="B26" i="12"/>
  <c r="B27" i="12" s="1"/>
  <c r="F25" i="12" s="1"/>
  <c r="C22" i="12"/>
  <c r="C23" i="12" s="1"/>
  <c r="G21" i="12" s="1"/>
  <c r="B22" i="12"/>
  <c r="B23" i="12" s="1"/>
  <c r="F21" i="12" s="1"/>
  <c r="C18" i="12"/>
  <c r="C19" i="12" s="1"/>
  <c r="G17" i="12" s="1"/>
  <c r="B18" i="12"/>
  <c r="B19" i="12" s="1"/>
  <c r="F17" i="12" s="1"/>
  <c r="C14" i="12"/>
  <c r="C15" i="12" s="1"/>
  <c r="G13" i="12" s="1"/>
  <c r="B14" i="12"/>
  <c r="B15" i="12" s="1"/>
  <c r="F13" i="12" s="1"/>
  <c r="C8" i="11"/>
  <c r="B8" i="11"/>
  <c r="C7" i="11"/>
  <c r="G6" i="11" s="1"/>
  <c r="B7" i="11"/>
  <c r="F6" i="11" s="1"/>
  <c r="B27" i="11"/>
  <c r="C26" i="11"/>
  <c r="C27" i="11" s="1"/>
  <c r="G25" i="11" s="1"/>
  <c r="B26" i="11"/>
  <c r="F25" i="11"/>
  <c r="C22" i="11"/>
  <c r="C23" i="11" s="1"/>
  <c r="G21" i="11" s="1"/>
  <c r="B22" i="11"/>
  <c r="B23" i="11" s="1"/>
  <c r="F21" i="11" s="1"/>
  <c r="C19" i="11"/>
  <c r="G17" i="11" s="1"/>
  <c r="C18" i="11"/>
  <c r="B18" i="11"/>
  <c r="B19" i="11" s="1"/>
  <c r="F17" i="11" s="1"/>
  <c r="C15" i="11"/>
  <c r="G13" i="11" s="1"/>
  <c r="B15" i="11"/>
  <c r="F13" i="11" s="1"/>
  <c r="C14" i="11"/>
  <c r="B14" i="11"/>
  <c r="C7" i="9"/>
  <c r="B7" i="9"/>
  <c r="G18" i="14" l="1"/>
  <c r="G19" i="14" s="1"/>
  <c r="G14" i="14"/>
  <c r="G15" i="14" s="1"/>
  <c r="F6" i="14"/>
  <c r="F26" i="14" s="1"/>
  <c r="F27" i="14" s="1"/>
  <c r="G26" i="14"/>
  <c r="G27" i="14" s="1"/>
  <c r="G22" i="14"/>
  <c r="G23" i="14" s="1"/>
  <c r="F18" i="13"/>
  <c r="F19" i="13" s="1"/>
  <c r="G18" i="13"/>
  <c r="G19" i="13" s="1"/>
  <c r="F14" i="13"/>
  <c r="F15" i="13" s="1"/>
  <c r="G14" i="13"/>
  <c r="G15" i="13" s="1"/>
  <c r="F26" i="13"/>
  <c r="F27" i="13" s="1"/>
  <c r="G26" i="13"/>
  <c r="G27" i="13" s="1"/>
  <c r="F22" i="13"/>
  <c r="F23" i="13" s="1"/>
  <c r="G22" i="13"/>
  <c r="G23" i="13" s="1"/>
  <c r="F6" i="12"/>
  <c r="F18" i="12" s="1"/>
  <c r="F19" i="12" s="1"/>
  <c r="G6" i="12"/>
  <c r="G26" i="12" s="1"/>
  <c r="G27" i="12" s="1"/>
  <c r="F26" i="12"/>
  <c r="F27" i="12" s="1"/>
  <c r="F22" i="11"/>
  <c r="F23" i="11" s="1"/>
  <c r="G22" i="11"/>
  <c r="G23" i="11" s="1"/>
  <c r="F18" i="11"/>
  <c r="F19" i="11" s="1"/>
  <c r="G18" i="11"/>
  <c r="G19" i="11" s="1"/>
  <c r="F14" i="11"/>
  <c r="F15" i="11" s="1"/>
  <c r="F26" i="11"/>
  <c r="F27" i="11" s="1"/>
  <c r="G26" i="11"/>
  <c r="G27" i="11" s="1"/>
  <c r="G14" i="11"/>
  <c r="G15" i="11" s="1"/>
  <c r="F18" i="14" l="1"/>
  <c r="F19" i="14" s="1"/>
  <c r="F14" i="14"/>
  <c r="F15" i="14" s="1"/>
  <c r="F22" i="14"/>
  <c r="F23" i="14" s="1"/>
  <c r="F22" i="12"/>
  <c r="F23" i="12" s="1"/>
  <c r="G14" i="12"/>
  <c r="G15" i="12" s="1"/>
  <c r="G22" i="12"/>
  <c r="G23" i="12" s="1"/>
  <c r="F14" i="12"/>
  <c r="F15" i="12" s="1"/>
  <c r="G18" i="12"/>
  <c r="G19" i="12" s="1"/>
  <c r="C20" i="9"/>
  <c r="B20" i="9"/>
  <c r="C16" i="9"/>
  <c r="B16" i="9"/>
  <c r="C12" i="9"/>
  <c r="B12" i="9"/>
  <c r="F15" i="9" l="1"/>
  <c r="B6" i="9"/>
  <c r="G23" i="9"/>
  <c r="F23" i="9"/>
  <c r="G19" i="9"/>
  <c r="F19" i="9"/>
  <c r="G15" i="9"/>
  <c r="F11" i="9"/>
  <c r="G11" i="9"/>
  <c r="C6" i="9"/>
  <c r="C25" i="9"/>
  <c r="C26" i="9" s="1"/>
  <c r="G24" i="9" s="1"/>
  <c r="B25" i="9"/>
  <c r="B26" i="9" s="1"/>
  <c r="F24" i="9" s="1"/>
  <c r="C21" i="9"/>
  <c r="C22" i="9" s="1"/>
  <c r="G20" i="9" s="1"/>
  <c r="B21" i="9"/>
  <c r="B22" i="9" s="1"/>
  <c r="F20" i="9" s="1"/>
  <c r="C17" i="9"/>
  <c r="C18" i="9" s="1"/>
  <c r="G16" i="9" s="1"/>
  <c r="B17" i="9"/>
  <c r="B18" i="9" s="1"/>
  <c r="F16" i="9" s="1"/>
  <c r="C13" i="9"/>
  <c r="C14" i="9" s="1"/>
  <c r="G12" i="9" s="1"/>
  <c r="B13" i="9"/>
  <c r="B14" i="9" s="1"/>
  <c r="F12" i="9" s="1"/>
  <c r="G13" i="9" l="1"/>
  <c r="G14" i="9" s="1"/>
  <c r="F25" i="9"/>
  <c r="G25" i="9"/>
  <c r="G26" i="9" s="1"/>
  <c r="F17" i="9"/>
  <c r="F18" i="9" s="1"/>
  <c r="F21" i="9"/>
  <c r="G21" i="9"/>
  <c r="G22" i="9" s="1"/>
  <c r="G17" i="9"/>
  <c r="G18" i="9" s="1"/>
  <c r="F13" i="9"/>
  <c r="F14" i="9" l="1"/>
  <c r="F22" i="9"/>
  <c r="F26" i="9"/>
  <c r="C8" i="8" l="1"/>
  <c r="C7" i="8"/>
  <c r="G6" i="8" s="1"/>
  <c r="B8" i="8"/>
  <c r="B7" i="8"/>
  <c r="B8" i="6"/>
  <c r="C8" i="6"/>
  <c r="C7" i="6"/>
  <c r="G6" i="6" s="1"/>
  <c r="B7" i="6"/>
  <c r="F6" i="6" s="1"/>
  <c r="C27" i="8"/>
  <c r="G25" i="8" s="1"/>
  <c r="B27" i="8"/>
  <c r="F25" i="8" s="1"/>
  <c r="C26" i="8"/>
  <c r="B26" i="8"/>
  <c r="C22" i="8"/>
  <c r="C23" i="8" s="1"/>
  <c r="G21" i="8" s="1"/>
  <c r="B22" i="8"/>
  <c r="B23" i="8" s="1"/>
  <c r="F21" i="8" s="1"/>
  <c r="C18" i="8"/>
  <c r="C19" i="8" s="1"/>
  <c r="G17" i="8" s="1"/>
  <c r="B18" i="8"/>
  <c r="B19" i="8" s="1"/>
  <c r="F17" i="8" s="1"/>
  <c r="C14" i="8"/>
  <c r="C15" i="8" s="1"/>
  <c r="G13" i="8" s="1"/>
  <c r="B14" i="8"/>
  <c r="B15" i="8" s="1"/>
  <c r="F13" i="8" s="1"/>
  <c r="C8" i="2"/>
  <c r="B8" i="2"/>
  <c r="B27" i="6"/>
  <c r="F25" i="6" s="1"/>
  <c r="C26" i="6"/>
  <c r="C27" i="6" s="1"/>
  <c r="G25" i="6" s="1"/>
  <c r="B26" i="6"/>
  <c r="C22" i="6"/>
  <c r="C23" i="6" s="1"/>
  <c r="G21" i="6" s="1"/>
  <c r="B22" i="6"/>
  <c r="B23" i="6" s="1"/>
  <c r="F21" i="6" s="1"/>
  <c r="C19" i="6"/>
  <c r="G17" i="6" s="1"/>
  <c r="B19" i="6"/>
  <c r="F17" i="6" s="1"/>
  <c r="C18" i="6"/>
  <c r="B18" i="6"/>
  <c r="C15" i="6"/>
  <c r="G13" i="6" s="1"/>
  <c r="B15" i="6"/>
  <c r="F13" i="6" s="1"/>
  <c r="C14" i="6"/>
  <c r="B14" i="6"/>
  <c r="B7" i="2"/>
  <c r="C7" i="2"/>
  <c r="C33" i="1"/>
  <c r="B33" i="1"/>
  <c r="G13" i="2"/>
  <c r="G25" i="2"/>
  <c r="G21" i="2"/>
  <c r="C26" i="2"/>
  <c r="C27" i="2" s="1"/>
  <c r="B26" i="2"/>
  <c r="B27" i="2" s="1"/>
  <c r="F25" i="2" s="1"/>
  <c r="C22" i="2"/>
  <c r="C23" i="2" s="1"/>
  <c r="B22" i="2"/>
  <c r="B23" i="2" s="1"/>
  <c r="F21" i="2" s="1"/>
  <c r="C18" i="2"/>
  <c r="C19" i="2" s="1"/>
  <c r="G17" i="2" s="1"/>
  <c r="B18" i="2"/>
  <c r="B19" i="2" s="1"/>
  <c r="F17" i="2" s="1"/>
  <c r="C15" i="2"/>
  <c r="B15" i="2"/>
  <c r="F13" i="2" s="1"/>
  <c r="C14" i="2"/>
  <c r="B14" i="2"/>
  <c r="G22" i="8" l="1"/>
  <c r="G23" i="8" s="1"/>
  <c r="G18" i="8"/>
  <c r="G19" i="8" s="1"/>
  <c r="F6" i="8"/>
  <c r="F22" i="8" s="1"/>
  <c r="F23" i="8" s="1"/>
  <c r="G26" i="8"/>
  <c r="G27" i="8" s="1"/>
  <c r="G14" i="8"/>
  <c r="G15" i="8" s="1"/>
  <c r="F18" i="6"/>
  <c r="F19" i="6" s="1"/>
  <c r="G18" i="6"/>
  <c r="G19" i="6" s="1"/>
  <c r="F14" i="6"/>
  <c r="F15" i="6" s="1"/>
  <c r="G14" i="6"/>
  <c r="G15" i="6" s="1"/>
  <c r="F22" i="6"/>
  <c r="F23" i="6" s="1"/>
  <c r="G22" i="6"/>
  <c r="G23" i="6" s="1"/>
  <c r="F26" i="6"/>
  <c r="F27" i="6" s="1"/>
  <c r="G26" i="6"/>
  <c r="G27" i="6" s="1"/>
  <c r="F26" i="8" l="1"/>
  <c r="F27" i="8" s="1"/>
  <c r="F18" i="8"/>
  <c r="F19" i="8" s="1"/>
  <c r="F14" i="8"/>
  <c r="F15" i="8" s="1"/>
  <c r="B47" i="1" l="1"/>
  <c r="B48" i="1" s="1"/>
  <c r="C49" i="1" s="1"/>
  <c r="B35" i="1"/>
  <c r="B36" i="1" s="1"/>
  <c r="C37" i="1" s="1"/>
  <c r="B22" i="1"/>
  <c r="B23" i="1" s="1"/>
  <c r="C24" i="1" s="1"/>
  <c r="B9" i="1"/>
  <c r="B10" i="1" s="1"/>
  <c r="C11" i="1" s="1"/>
  <c r="B24" i="1" l="1"/>
  <c r="B49" i="1"/>
  <c r="B11" i="1"/>
  <c r="B37" i="1"/>
  <c r="F6" i="2"/>
  <c r="F26" i="2" s="1"/>
  <c r="F27" i="2" s="1"/>
  <c r="G6" i="2"/>
  <c r="G22" i="2" s="1"/>
  <c r="G23" i="2" s="1"/>
  <c r="G18" i="2" l="1"/>
  <c r="G19" i="2" s="1"/>
  <c r="G14" i="2"/>
  <c r="G15" i="2" s="1"/>
  <c r="G26" i="2"/>
  <c r="G27" i="2" s="1"/>
  <c r="F14" i="2"/>
  <c r="F15" i="2" s="1"/>
  <c r="F18" i="2"/>
  <c r="F19" i="2" s="1"/>
  <c r="F22" i="2"/>
  <c r="F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40385E03-BE41-4E39-9281-9584AB7A30E9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FFE01FBC-931F-4CDF-BC48-2ABC2F9511DC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CB7931F7-3DD7-4A72-AF79-455DADAC1B8A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B3" authorId="0" shapeId="0" xr:uid="{70797A9D-CB66-4A6B-8EAC-371CFAB05BC0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Ref: MEPC 62/INF.7
REDUCTION OF GHG EMISSIONS FROM SHIPS
Marginal Abatement Costs and Cost Effectiveness of Energy-Efficiency Measures</t>
        </r>
      </text>
    </comment>
    <comment ref="A9" authorId="0" shapeId="0" xr:uid="{EEBC88C4-B107-4B00-BD37-B3014AEF3A3D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4256D512-F3A3-4C65-9D34-1B8DC3CA0063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8E227B30-562E-4591-A993-DF3575D55412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130671DA-293A-4871-89A1-2FC56E7A9B66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</authors>
  <commentList>
    <comment ref="A10" authorId="0" shapeId="0" xr:uid="{1DCD4E79-9E97-4ACE-B237-08324F5C1D91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Fuel saving prediction from GBM has already taken into account the historical wind conditions including using/not using the WASP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Hermans</author>
    <author>tc={5A7CA194-C7B4-4740-9B5D-A9E956085730}</author>
  </authors>
  <commentList>
    <comment ref="A9" authorId="0" shapeId="0" xr:uid="{1DAF92CD-5425-45A3-A1E8-199655B691D1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Estimate from Remontowa, received 12/6/2024</t>
        </r>
      </text>
    </comment>
    <comment ref="A22" authorId="0" shapeId="0" xr:uid="{0B6FD57C-2A42-4BCA-9324-7D8F36D77890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Estimate from Remontowa, received 12/6/2024</t>
        </r>
      </text>
    </comment>
    <comment ref="A32" authorId="0" shapeId="0" xr:uid="{B355874F-D84F-4AC1-87DC-FDC6C259FC04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These are (mine) raw estimates, no refs
</t>
        </r>
      </text>
    </comment>
    <comment ref="A35" authorId="0" shapeId="0" xr:uid="{0E840BAE-60A7-477F-847F-BA4573EBA152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Estimate from Remontowa, received 12/6/2024</t>
        </r>
      </text>
    </comment>
    <comment ref="A47" authorId="0" shapeId="0" xr:uid="{5E5C02F3-398E-4EFE-9A76-130B99DE60C9}">
      <text>
        <r>
          <rPr>
            <b/>
            <sz val="9"/>
            <color indexed="81"/>
            <rFont val="Tahoma"/>
            <charset val="1"/>
          </rPr>
          <t>Julien Hermans:</t>
        </r>
        <r>
          <rPr>
            <sz val="9"/>
            <color indexed="81"/>
            <rFont val="Tahoma"/>
            <charset val="1"/>
          </rPr>
          <t xml:space="preserve">
Estimate from Remontowa, received 12/6/2024</t>
        </r>
      </text>
    </comment>
    <comment ref="A53" authorId="1" shapeId="0" xr:uid="{5A7CA194-C7B4-4740-9B5D-A9E95608573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email from Remontowa with the estimates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5A4CCA-9185-49C6-8739-5DCE6B10717F}" keepAlive="1" name="Query - Table008 (Page 3)" description="Connection to the 'Table008 (Page 3)' query in the workbook." type="5" refreshedVersion="8" background="1" saveData="1">
    <dbPr connection="Provider=Microsoft.Mashup.OleDb.1;Data Source=$Workbook$;Location=&quot;Table008 (Page 3)&quot;;Extended Properties=&quot;&quot;" command="SELECT * FROM [Table008 (Page 3)]"/>
  </connection>
  <connection id="2" xr16:uid="{FCB71059-55D7-457D-99CC-FF7A5FA4740B}" keepAlive="1" name="Query - Table008 (Page 3) (2)" description="Connection to the 'Table008 (Page 3) (2)' query in the workbook." type="5" refreshedVersion="8" background="1" saveData="1">
    <dbPr connection="Provider=Microsoft.Mashup.OleDb.1;Data Source=$Workbook$;Location=&quot;Table008 (Page 3) (2)&quot;;Extended Properties=&quot;&quot;" command="SELECT * FROM [Table008 (Page 3) (2)]"/>
  </connection>
</connections>
</file>

<file path=xl/sharedStrings.xml><?xml version="1.0" encoding="utf-8"?>
<sst xmlns="http://schemas.openxmlformats.org/spreadsheetml/2006/main" count="538" uniqueCount="101">
  <si>
    <t>Green shipping technology/measure</t>
  </si>
  <si>
    <t>Towing kite</t>
  </si>
  <si>
    <t>Type/characteristic</t>
  </si>
  <si>
    <t>1280 m2 sail, 250m high</t>
  </si>
  <si>
    <t>min</t>
  </si>
  <si>
    <t>max</t>
  </si>
  <si>
    <t>Bunker price per tonne</t>
  </si>
  <si>
    <t>Percentage maintenance/operational costs wrt purchase price</t>
  </si>
  <si>
    <t>Maintenance &amp; operational costs per day</t>
  </si>
  <si>
    <t>Purchase price</t>
  </si>
  <si>
    <t>Drydocking time [days]</t>
  </si>
  <si>
    <t>Sailing rate</t>
  </si>
  <si>
    <t>between 0 and 1</t>
  </si>
  <si>
    <t>Utilisation rate GS technology/measure during sailing</t>
  </si>
  <si>
    <t>LL1: crude oil tanker</t>
  </si>
  <si>
    <t>Fuel savings per tonne per sailing hour</t>
  </si>
  <si>
    <t>Fuel savings per day</t>
  </si>
  <si>
    <t>Fuel savings per tonne per sailing day</t>
  </si>
  <si>
    <t>Payback (days)</t>
  </si>
  <si>
    <t>Fuel savings per tonne per sailing day corrected for sailing rate</t>
  </si>
  <si>
    <t>Payback (years)</t>
  </si>
  <si>
    <t>LL2: container vessel</t>
  </si>
  <si>
    <t>LL3: ROPAX</t>
  </si>
  <si>
    <t>LL4: bulk carrier</t>
  </si>
  <si>
    <t>DynaRig sail</t>
  </si>
  <si>
    <t>2 sails, H 23.2m W 12.5m GPR 4</t>
  </si>
  <si>
    <t>Flettner rotor</t>
  </si>
  <si>
    <t>4 rotors, H 35m D 5m</t>
  </si>
  <si>
    <t>Hull coating</t>
  </si>
  <si>
    <t>coating 1</t>
  </si>
  <si>
    <t>Purchase price coating</t>
  </si>
  <si>
    <t>new tech</t>
  </si>
  <si>
    <t>charac4</t>
  </si>
  <si>
    <t>ch1</t>
  </si>
  <si>
    <t>ch2</t>
  </si>
  <si>
    <t>Kite characteristic</t>
  </si>
  <si>
    <t>min price</t>
  </si>
  <si>
    <t>max price</t>
  </si>
  <si>
    <t>min ddays</t>
  </si>
  <si>
    <t>max ddays</t>
  </si>
  <si>
    <t>new_tech1 characteristic</t>
  </si>
  <si>
    <t>300 m2 sail, 77.6m high</t>
  </si>
  <si>
    <t>charac1</t>
  </si>
  <si>
    <t>800 m2 sail, 150m high</t>
  </si>
  <si>
    <t>charac2</t>
  </si>
  <si>
    <t>charac3</t>
  </si>
  <si>
    <t>2500 m2 sail, 400m high</t>
  </si>
  <si>
    <t>Sail characteristic</t>
  </si>
  <si>
    <t>1 sail, H 37.1m W 20m</t>
  </si>
  <si>
    <t>2 sails, H 37.1m W 20m GPR 2.5</t>
  </si>
  <si>
    <t>new_tech2 characteristic2</t>
  </si>
  <si>
    <t>ch3</t>
  </si>
  <si>
    <t>Rotor characteristic</t>
  </si>
  <si>
    <t>1 rotor, H 35m D 5m</t>
  </si>
  <si>
    <t>Hull coating type</t>
  </si>
  <si>
    <t>coating 2</t>
  </si>
  <si>
    <t>new_tech3 characteristic3</t>
  </si>
  <si>
    <t>vessel type</t>
  </si>
  <si>
    <t>oil tanker</t>
  </si>
  <si>
    <t>container</t>
  </si>
  <si>
    <t>ropax</t>
  </si>
  <si>
    <t>bulker</t>
  </si>
  <si>
    <t>new_tech4 characteristic4</t>
  </si>
  <si>
    <t>LL1 Euronav</t>
  </si>
  <si>
    <t>https://www.hellenicshippingnews.com/weekly-tanker-time-charter-estimates-may-08-2024/</t>
  </si>
  <si>
    <t>Alex</t>
  </si>
  <si>
    <t>Crude oil carrier</t>
  </si>
  <si>
    <t>Loa</t>
  </si>
  <si>
    <t>333.08 m</t>
  </si>
  <si>
    <t>DWT</t>
  </si>
  <si>
    <t>299,446 MT</t>
  </si>
  <si>
    <t>Type:</t>
  </si>
  <si>
    <t>VLCC</t>
  </si>
  <si>
    <t>Time charter rate [$/day]</t>
  </si>
  <si>
    <t>Shipyard fee</t>
  </si>
  <si>
    <t>/14 days</t>
  </si>
  <si>
    <t>/day</t>
  </si>
  <si>
    <t>Costs 'C'</t>
  </si>
  <si>
    <t>LL2 Danaos</t>
  </si>
  <si>
    <t>https://www.vhbs.de/index.php?id=28&amp;L=1</t>
  </si>
  <si>
    <t>Zim Rio Grande</t>
  </si>
  <si>
    <t>Container vessel</t>
  </si>
  <si>
    <t>260 m</t>
  </si>
  <si>
    <t>50,842 MT</t>
  </si>
  <si>
    <t>TEU</t>
  </si>
  <si>
    <t>LL3 Baleària</t>
  </si>
  <si>
    <t>https://www.rome2rio.com/Ferry/Palma/Valencia-Spain#:~:text=What%20companies%20run%20services%20between,this%20route%20once%20a%20week</t>
  </si>
  <si>
    <t>Trinacria</t>
  </si>
  <si>
    <t>ROPAX</t>
  </si>
  <si>
    <t>186 m</t>
  </si>
  <si>
    <t>7,500 MT</t>
  </si>
  <si>
    <t>Capacity persons</t>
  </si>
  <si>
    <t>Capacity cars</t>
  </si>
  <si>
    <t>Estimate occupancy rate</t>
  </si>
  <si>
    <t>LL4 Starbulk</t>
  </si>
  <si>
    <t>https://www.hellenicshippingnews.com/weekly-dry-time-charter-estimates-may-08-2024/</t>
  </si>
  <si>
    <t>Maharaj</t>
  </si>
  <si>
    <t>Bulk carrier</t>
  </si>
  <si>
    <t>300 m</t>
  </si>
  <si>
    <t>209,472 MT</t>
  </si>
  <si>
    <t>Capesize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</si>
</sst>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[$$-409]* #,##0.00_ ;_-[$$-409]* \-#,##0.00\ ;_-[$$-409]* &quot;-&quot;??_ ;_-@_ "/>
    <numFmt numFmtId="165" formatCode="0.0"/>
    <numFmt numFmtId="166" formatCode="_ [$€-413]\ * #,##0.00_ ;_ [$€-413]\ * \-#,##0.00_ ;_ [$€-413]\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2" xfId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9" xfId="0" applyFont="1" applyBorder="1"/>
    <xf numFmtId="164" fontId="0" fillId="0" borderId="0" xfId="0" applyNumberFormat="1"/>
    <xf numFmtId="9" fontId="0" fillId="0" borderId="0" xfId="0" applyNumberFormat="1"/>
    <xf numFmtId="164" fontId="1" fillId="0" borderId="11" xfId="0" applyNumberFormat="1" applyFont="1" applyBorder="1"/>
    <xf numFmtId="164" fontId="0" fillId="0" borderId="0" xfId="2" applyNumberFormat="1" applyFont="1" applyAlignment="1">
      <alignment horizontal="left"/>
    </xf>
    <xf numFmtId="164" fontId="1" fillId="0" borderId="10" xfId="0" applyNumberFormat="1" applyFont="1" applyBorder="1"/>
    <xf numFmtId="164" fontId="0" fillId="0" borderId="0" xfId="0" applyNumberFormat="1" applyAlignment="1">
      <alignment horizontal="left"/>
    </xf>
    <xf numFmtId="166" fontId="1" fillId="0" borderId="10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1" xfId="0" applyFont="1" applyBorder="1"/>
    <xf numFmtId="164" fontId="0" fillId="0" borderId="0" xfId="2" applyNumberFormat="1" applyFont="1" applyBorder="1" applyAlignment="1">
      <alignment horizontal="left"/>
    </xf>
    <xf numFmtId="164" fontId="0" fillId="2" borderId="12" xfId="2" applyNumberFormat="1" applyFont="1" applyFill="1" applyBorder="1"/>
    <xf numFmtId="10" fontId="0" fillId="2" borderId="12" xfId="2" applyNumberFormat="1" applyFont="1" applyFill="1" applyBorder="1"/>
    <xf numFmtId="0" fontId="0" fillId="2" borderId="12" xfId="0" applyFill="1" applyBorder="1"/>
    <xf numFmtId="2" fontId="0" fillId="2" borderId="12" xfId="0" applyNumberFormat="1" applyFill="1" applyBorder="1"/>
    <xf numFmtId="165" fontId="0" fillId="0" borderId="0" xfId="0" applyNumberFormat="1"/>
    <xf numFmtId="165" fontId="0" fillId="0" borderId="5" xfId="0" applyNumberFormat="1" applyBorder="1"/>
    <xf numFmtId="2" fontId="0" fillId="0" borderId="0" xfId="0" applyNumberFormat="1"/>
    <xf numFmtId="2" fontId="0" fillId="0" borderId="7" xfId="0" applyNumberFormat="1" applyBorder="1"/>
    <xf numFmtId="2" fontId="0" fillId="0" borderId="2" xfId="0" applyNumberFormat="1" applyBorder="1"/>
    <xf numFmtId="164" fontId="0" fillId="0" borderId="5" xfId="0" applyNumberFormat="1" applyBorder="1"/>
    <xf numFmtId="0" fontId="0" fillId="0" borderId="0" xfId="0" applyAlignment="1">
      <alignment horizontal="center"/>
    </xf>
    <xf numFmtId="0" fontId="0" fillId="3" borderId="13" xfId="0" applyFill="1" applyBorder="1"/>
    <xf numFmtId="0" fontId="0" fillId="0" borderId="13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3" borderId="14" xfId="0" applyNumberFormat="1" applyFill="1" applyBorder="1"/>
    <xf numFmtId="164" fontId="0" fillId="0" borderId="14" xfId="0" applyNumberFormat="1" applyBorder="1"/>
    <xf numFmtId="0" fontId="0" fillId="4" borderId="15" xfId="0" applyFill="1" applyBorder="1"/>
    <xf numFmtId="164" fontId="0" fillId="0" borderId="0" xfId="2" applyNumberFormat="1" applyFont="1"/>
    <xf numFmtId="0" fontId="1" fillId="5" borderId="0" xfId="0" applyFont="1" applyFill="1"/>
    <xf numFmtId="165" fontId="1" fillId="5" borderId="0" xfId="0" applyNumberFormat="1" applyFont="1" applyFill="1"/>
    <xf numFmtId="165" fontId="1" fillId="5" borderId="5" xfId="0" applyNumberFormat="1" applyFont="1" applyFill="1" applyBorder="1"/>
    <xf numFmtId="0" fontId="1" fillId="5" borderId="7" xfId="0" applyFont="1" applyFill="1" applyBorder="1"/>
    <xf numFmtId="165" fontId="1" fillId="5" borderId="7" xfId="0" applyNumberFormat="1" applyFont="1" applyFill="1" applyBorder="1"/>
    <xf numFmtId="165" fontId="1" fillId="5" borderId="8" xfId="0" applyNumberFormat="1" applyFont="1" applyFill="1" applyBorder="1"/>
    <xf numFmtId="0" fontId="6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17"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409]* #,##0.00_ ;_-[$$-409]* \-#,##0.00\ ;_-[$$-409]* &quot;-&quot;??_ ;_-@_ 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409]* #,##0.00_ ;_-[$$-409]* \-#,##0.00\ ;_-[$$-409]* &quot;-&quot;??_ ;_-@_ 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581026</xdr:colOff>
      <xdr:row>39</xdr:row>
      <xdr:rowOff>187325</xdr:rowOff>
    </xdr:from>
    <xdr:to>
      <xdr:col>9</xdr:col>
      <xdr:colOff>433759</xdr:colOff>
      <xdr:row>49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12E1E-494B-1CB0-6430-6CA6F381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7264400"/>
          <a:ext cx="3519858" cy="188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577850</xdr:colOff>
      <xdr:row>1</xdr:row>
      <xdr:rowOff>25400</xdr:rowOff>
    </xdr:from>
    <xdr:to>
      <xdr:col>9</xdr:col>
      <xdr:colOff>511175</xdr:colOff>
      <xdr:row>11</xdr:row>
      <xdr:rowOff>14605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C530F5-8773-0757-10D1-EC8ED65D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650" y="215900"/>
          <a:ext cx="3587750" cy="191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14</xdr:row>
      <xdr:rowOff>53975</xdr:rowOff>
    </xdr:from>
    <xdr:to>
      <xdr:col>12</xdr:col>
      <xdr:colOff>396875</xdr:colOff>
      <xdr:row>21</xdr:row>
      <xdr:rowOff>131229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B1C7C2-72A3-DDC4-2ECA-5137F64E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325" y="2730500"/>
          <a:ext cx="5876925" cy="141075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27</xdr:row>
      <xdr:rowOff>56285</xdr:rowOff>
    </xdr:from>
    <xdr:to>
      <xdr:col>12</xdr:col>
      <xdr:colOff>304801</xdr:colOff>
      <xdr:row>31</xdr:row>
      <xdr:rowOff>171304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F47D4E-2943-DFD2-96E2-07BE1EB8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2351" y="5256935"/>
          <a:ext cx="5715000" cy="87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52</xdr:row>
      <xdr:rowOff>95250</xdr:rowOff>
    </xdr:from>
    <xdr:to>
      <xdr:col>6</xdr:col>
      <xdr:colOff>161258</xdr:colOff>
      <xdr:row>69</xdr:row>
      <xdr:rowOff>171036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56B142-B164-4CA2-F666-42DA6137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950" y="10153650"/>
          <a:ext cx="5336508" cy="331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en Hermans" id="{670A3E5D-550F-4509-9BAB-F25C5B669905}" userId="S::julienhermans@tudelft.nl::2b55ada3-4420-4a45-bc69-35337d0282f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9DAC4E-1DBA-4C34-9B76-4C331B717A6C}" name="Kite_Charac" displayName="Kite_Charac" ref="A1:E5" totalsRowShown="0">
  <autoFilter ref="A1:E5" xr:uid="{469DAC4E-1DBA-4C34-9B76-4C331B717A6C}"/>
  <tableColumns count="5">
    <tableColumn id="1" xr3:uid="{D9B6E2EE-B688-46B3-856A-5A779CC62A39}" name="Kite characteristic"/>
    <tableColumn id="2" xr3:uid="{133C1C60-5423-4D1A-9EC2-E80B00FCFCFD}" name="min price" dataDxfId="16"/>
    <tableColumn id="3" xr3:uid="{3F4CDFE8-7373-4A2B-BD60-47CC5B9F5C76}" name="max price" dataDxfId="15"/>
    <tableColumn id="4" xr3:uid="{5C16680E-18AD-434C-9D75-E8CB171F0194}" name="min ddays"/>
    <tableColumn id="5" xr3:uid="{4A9C49DC-5BAC-48D4-A2C3-E374646FA58C}" name="max dday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3B6930-443B-49D9-9AE0-43F6C5CADADD}" name="Sail_Charac" displayName="Sail_Charac" ref="A9:E12" totalsRowShown="0">
  <autoFilter ref="A9:E12" xr:uid="{AB3B6930-443B-49D9-9AE0-43F6C5CADADD}"/>
  <tableColumns count="5">
    <tableColumn id="1" xr3:uid="{0CE888C9-EAF7-4A04-8D8D-4E7D91032C5D}" name="Sail characteristic"/>
    <tableColumn id="2" xr3:uid="{4CD5D97E-B4EE-4FCD-9241-128C06B6F548}" name="min price" dataDxfId="14"/>
    <tableColumn id="3" xr3:uid="{72CC40C5-453C-480A-B56D-04521A50659B}" name="max price" dataDxfId="13"/>
    <tableColumn id="4" xr3:uid="{F68841B7-30C7-4570-ACE6-C48B5686A4B0}" name="min ddays"/>
    <tableColumn id="5" xr3:uid="{7DE9AAD9-AE69-4F9E-B8D7-EA353342875D}" name="max dday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2C53E5-2272-4800-BA59-C6B1456C12CD}" name="Rotor_Charac" displayName="Rotor_Charac" ref="A17:E19" totalsRowShown="0">
  <autoFilter ref="A17:E19" xr:uid="{3E2C53E5-2272-4800-BA59-C6B1456C12CD}"/>
  <tableColumns count="5">
    <tableColumn id="1" xr3:uid="{7401FED2-A404-46AB-B898-D7CE239E8186}" name="Rotor characteristic"/>
    <tableColumn id="2" xr3:uid="{E5881A3A-7BDD-4C49-99B3-4FF2779A5DEC}" name="min price" dataDxfId="12"/>
    <tableColumn id="3" xr3:uid="{59EF09A1-D1B7-4A92-A6A5-4BC3BFACB1EE}" name="max price" dataDxfId="11"/>
    <tableColumn id="4" xr3:uid="{20B737C7-B020-4C57-B911-0E115F5ED29E}" name="min ddays"/>
    <tableColumn id="5" xr3:uid="{4ED72DCB-2998-415C-9299-88446129A466}" name="max dday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4C5A50-99CE-492A-886F-0B675A522578}" name="Hull_c_type" displayName="Hull_c_type" ref="A22:C24" totalsRowShown="0">
  <autoFilter ref="A22:C24" xr:uid="{A54C5A50-99CE-492A-886F-0B675A522578}"/>
  <tableColumns count="3">
    <tableColumn id="1" xr3:uid="{BD562C37-EAAD-4A04-B16E-68D011CCA2F8}" name="Hull coating type"/>
    <tableColumn id="2" xr3:uid="{F89F43E7-F45D-43D6-8ECB-D1B62B44AAB9}" name="min ddays"/>
    <tableColumn id="3" xr3:uid="{16EF5ADE-0E8B-4F42-B008-394992D3BCFF}" name="max dday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DDAE43-BC82-4BB1-8D9C-C9B70A2149B4}" name="Hull_coating" displayName="Hull_coating" ref="A26:D34" totalsRowShown="0">
  <autoFilter ref="A26:D34" xr:uid="{D2DDAE43-BC82-4BB1-8D9C-C9B70A2149B4}"/>
  <tableColumns count="4">
    <tableColumn id="1" xr3:uid="{29B7E7BC-4DBF-4D76-BC89-BD0C5056A273}" name="Hull coating type"/>
    <tableColumn id="2" xr3:uid="{949CEB55-18BD-4792-AA9B-28A21FBC9F56}" name="vessel type" dataDxfId="10"/>
    <tableColumn id="3" xr3:uid="{1FCB7A18-0323-4C13-AA4E-F6EE14766785}" name="min price" dataDxfId="9"/>
    <tableColumn id="4" xr3:uid="{69C1669A-5886-4E56-817D-8741DD0E856F}" name="max price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86EFF0-A78A-45EE-9AB4-1CED14532E1F}" name="New_tech" displayName="New_tech" ref="G1:K5" totalsRowShown="0">
  <autoFilter ref="G1:K5" xr:uid="{9586EFF0-A78A-45EE-9AB4-1CED14532E1F}"/>
  <tableColumns count="5">
    <tableColumn id="1" xr3:uid="{397CB48D-133A-4B06-9E44-3C40AB4A4DA9}" name="new_tech1 characteristic"/>
    <tableColumn id="2" xr3:uid="{8C35E642-6221-47ED-B930-15039574DE9E}" name="min price" dataDxfId="7"/>
    <tableColumn id="3" xr3:uid="{E205685A-F5DC-497C-8E4C-064585006291}" name="max price" dataDxfId="6"/>
    <tableColumn id="4" xr3:uid="{4717723D-98A3-4EDC-A6C6-ABC46952EBFE}" name="min ddays"/>
    <tableColumn id="5" xr3:uid="{EB57D277-3091-4111-90D1-72E97F81C43C}" name="max dday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20BB1C-923A-46C1-85DA-0E75A6BE7821}" name="New_tech4" displayName="New_tech4" ref="G35:K38" totalsRowShown="0">
  <autoFilter ref="G35:K38" xr:uid="{A620BB1C-923A-46C1-85DA-0E75A6BE7821}"/>
  <tableColumns count="5">
    <tableColumn id="1" xr3:uid="{F4042B1E-44C9-43C8-AF18-6CBA696C6F09}" name="new_tech4 characteristic4"/>
    <tableColumn id="2" xr3:uid="{BC2F22CC-6C8C-4B86-B3E2-9CDBF96C3DF4}" name="min price" dataDxfId="5" dataCellStyle="Currency"/>
    <tableColumn id="3" xr3:uid="{A2B915C7-321A-4AF8-8200-A1871D36356E}" name="max price" dataDxfId="4" dataCellStyle="Currency"/>
    <tableColumn id="4" xr3:uid="{B2659F97-A631-4CC2-A88D-8B05A075BB32}" name="min ddays"/>
    <tableColumn id="5" xr3:uid="{0587CBA2-F146-43F0-9E38-76B74146E17A}" name="max dday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74F3E9-1718-4F5B-9D47-43820F05F0C6}" name="New_tech3" displayName="New_tech3" ref="G24:K27" totalsRowShown="0">
  <autoFilter ref="G24:K27" xr:uid="{8674F3E9-1718-4F5B-9D47-43820F05F0C6}"/>
  <tableColumns count="5">
    <tableColumn id="1" xr3:uid="{99D84B51-6FDD-41A0-BE40-E0418FBB7031}" name="new_tech3 characteristic3"/>
    <tableColumn id="2" xr3:uid="{AA41F20D-107C-48F8-ADDD-CCCE47B5FF11}" name="min price" dataDxfId="3" dataCellStyle="Currency"/>
    <tableColumn id="3" xr3:uid="{5DDD6D3A-711B-485C-B618-3DE4C9BA089F}" name="max price" dataDxfId="2" dataCellStyle="Currency"/>
    <tableColumn id="4" xr3:uid="{19A5DBDD-DEC7-4C34-9C9A-37DBDF51F4F1}" name="min ddays"/>
    <tableColumn id="5" xr3:uid="{B3A5F53B-DEB8-4C9F-8782-5311B8842871}" name="max dday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A0A775-4EFA-4455-8CD0-119B182D0D4A}" name="New_tech2" displayName="New_tech2" ref="G13:K16" totalsRowShown="0">
  <autoFilter ref="G13:K16" xr:uid="{A4A0A775-4EFA-4455-8CD0-119B182D0D4A}"/>
  <tableColumns count="5">
    <tableColumn id="1" xr3:uid="{D7DBE4E3-D2D5-40CC-AF9D-F32ECD412EBD}" name="new_tech2 characteristic2"/>
    <tableColumn id="2" xr3:uid="{446D958D-7AB9-4AAF-BDDA-323BD898245C}" name="min price" dataDxfId="1" dataCellStyle="Currency"/>
    <tableColumn id="3" xr3:uid="{9055DF90-B531-4096-A231-D6A9A8350388}" name="max price" dataDxfId="0" dataCellStyle="Currency"/>
    <tableColumn id="4" xr3:uid="{C540F37F-E6AE-4B53-BAF5-93306B3B1D16}" name="min ddays"/>
    <tableColumn id="5" xr3:uid="{40C05186-83EE-45B9-A54C-39DD60A4232E}" name="max dd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8-21T14:08:00.62" personId="{670A3E5D-550F-4509-9BAB-F25C5B669905}" id="{5A7CA194-C7B4-4740-9B5D-A9E956085730}">
    <text>This is the email from Remontowa with the estimates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ww.hellenicshippingnews.com/weekly-dry-time-charter-estimates-may-08-2024/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s://www.hellenicshippingnews.com/weekly-tanker-time-charter-estimates-may-08-2024/" TargetMode="External"/><Relationship Id="rId1" Type="http://schemas.openxmlformats.org/officeDocument/2006/relationships/hyperlink" Target="https://www.vhbs.de/index.php?id=28&amp;L=1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.xml"/><Relationship Id="rId4" Type="http://schemas.openxmlformats.org/officeDocument/2006/relationships/hyperlink" Target="https://www.rome2rio.com/Ferry/Palma/Valencia-Spai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7EF9-AA19-4F07-B1F9-189BE853D2A0}">
  <dimension ref="A2:H27"/>
  <sheetViews>
    <sheetView zoomScaleNormal="100" workbookViewId="0">
      <selection activeCell="B3" sqref="B3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1</v>
      </c>
    </row>
    <row r="3" spans="1:8" ht="15.75" thickBot="1">
      <c r="A3" t="s">
        <v>2</v>
      </c>
      <c r="B3" s="41" t="s">
        <v>3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96.164383561643831</v>
      </c>
      <c r="G6" s="14">
        <f>C7*C6/365</f>
        <v>96.164383561643831</v>
      </c>
    </row>
    <row r="7" spans="1:8">
      <c r="A7" t="s">
        <v>9</v>
      </c>
      <c r="B7" s="14">
        <f>VLOOKUP($B$3,Kite_Charac[],2,0)</f>
        <v>1755000</v>
      </c>
      <c r="C7" s="14">
        <f>VLOOKUP($B$3,Kite_Charac[],3,0)</f>
        <v>1755000</v>
      </c>
      <c r="H7" s="15"/>
    </row>
    <row r="8" spans="1:8">
      <c r="A8" t="s">
        <v>10</v>
      </c>
      <c r="B8">
        <f>VLOOKUP($B$3,Kite_Charac[],4,0)</f>
        <v>0</v>
      </c>
      <c r="C8">
        <f>VLOOKUP($B$3,Kite_Charac[],5,0)</f>
        <v>2</v>
      </c>
    </row>
    <row r="9" spans="1:8">
      <c r="A9" t="s">
        <v>11</v>
      </c>
      <c r="B9" s="26">
        <v>0.7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1496.88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731.30008904719489</v>
      </c>
      <c r="G14" s="29">
        <f>(C$7+C8*'Costs C'!C11)/(F13-G$6)</f>
        <v>1360.631037799968</v>
      </c>
    </row>
    <row r="15" spans="1:8" ht="15.75" thickBot="1">
      <c r="A15" s="4" t="s">
        <v>19</v>
      </c>
      <c r="B15" s="30">
        <f>B14*B$9*B$10</f>
        <v>2.7216</v>
      </c>
      <c r="C15" s="30">
        <f>C14*C$9*C$10</f>
        <v>3.8400000000000007</v>
      </c>
      <c r="E15" s="43" t="s">
        <v>20</v>
      </c>
      <c r="F15" s="44">
        <f>F14/365</f>
        <v>2.0035618878005339</v>
      </c>
      <c r="G15" s="45">
        <f>G14/365</f>
        <v>3.7277562679451179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1496.88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731.30008904719489</v>
      </c>
      <c r="G18" s="29">
        <f>(C$7+C8*'Costs C'!C24)/(F17-G$6)</f>
        <v>1304.307786872374</v>
      </c>
    </row>
    <row r="19" spans="1:7" ht="15.75" thickBot="1">
      <c r="A19" s="6" t="s">
        <v>19</v>
      </c>
      <c r="B19" s="31">
        <f>B18*B$9*B$10</f>
        <v>2.7216</v>
      </c>
      <c r="C19" s="31">
        <f>C18*C$9*C$10</f>
        <v>3.8400000000000007</v>
      </c>
      <c r="D19" s="7"/>
      <c r="E19" s="46" t="s">
        <v>20</v>
      </c>
      <c r="F19" s="47">
        <f>F18/365</f>
        <v>2.0035618878005339</v>
      </c>
      <c r="G19" s="48">
        <f>G18/365</f>
        <v>3.5734459914311616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1496.88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731.30008904719489</v>
      </c>
      <c r="G22" s="29">
        <f>(C$7+C8*'Costs C'!C37)/(F21-G$6)</f>
        <v>1485.924952422977</v>
      </c>
    </row>
    <row r="23" spans="1:7" ht="15.75" thickBot="1">
      <c r="A23" s="6" t="s">
        <v>19</v>
      </c>
      <c r="B23" s="31">
        <f>B22*B$9*B$10</f>
        <v>2.7216</v>
      </c>
      <c r="C23" s="31">
        <f>C22*C$9*C$10</f>
        <v>3.8400000000000007</v>
      </c>
      <c r="D23" s="7"/>
      <c r="E23" s="46" t="s">
        <v>20</v>
      </c>
      <c r="F23" s="47">
        <f>F22/365</f>
        <v>2.0035618878005339</v>
      </c>
      <c r="G23" s="48">
        <f>G22/365</f>
        <v>4.0710272669122656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1496.88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731.30008904719489</v>
      </c>
      <c r="G26" s="29">
        <f>(C$7+C8*'Costs C'!C49)/(F25-G$6)</f>
        <v>1310.9482701098491</v>
      </c>
    </row>
    <row r="27" spans="1:7" ht="15.75" thickBot="1">
      <c r="A27" s="6" t="s">
        <v>19</v>
      </c>
      <c r="B27" s="31">
        <f>B26*B$9*B$10</f>
        <v>2.7216</v>
      </c>
      <c r="C27" s="31">
        <f>C26*C$9*C$10</f>
        <v>3.8400000000000007</v>
      </c>
      <c r="D27" s="7"/>
      <c r="E27" s="46" t="s">
        <v>20</v>
      </c>
      <c r="F27" s="47">
        <f>F26/365</f>
        <v>2.0035618878005339</v>
      </c>
      <c r="G27" s="48">
        <f>G26/365</f>
        <v>3.5916390961913676</v>
      </c>
    </row>
  </sheetData>
  <dataValidations count="2">
    <dataValidation type="list" allowBlank="1" showInputMessage="1" showErrorMessage="1" sqref="B3" xr:uid="{62CA46A0-C241-4249-919F-E867536DC638}">
      <formula1>Kite_ddown</formula1>
    </dataValidation>
    <dataValidation type="decimal" allowBlank="1" showInputMessage="1" showErrorMessage="1" errorTitle="Invalid input" error="Enter a value between 0 and 1" sqref="B9:C10" xr:uid="{E3559996-B1A4-42EA-88CC-EAF88BC58916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DDAE-DFA5-4082-AEFF-9F5663531012}">
  <dimension ref="A1:M53"/>
  <sheetViews>
    <sheetView topLeftCell="A45" zoomScaleNormal="100" workbookViewId="0">
      <selection activeCell="J58" sqref="J58"/>
    </sheetView>
  </sheetViews>
  <sheetFormatPr defaultRowHeight="15"/>
  <cols>
    <col min="1" max="1" width="23.42578125" bestFit="1" customWidth="1"/>
    <col min="2" max="2" width="15.85546875" style="10" bestFit="1" customWidth="1"/>
    <col min="3" max="3" width="12.28515625" bestFit="1" customWidth="1"/>
    <col min="4" max="4" width="9.28515625" customWidth="1"/>
  </cols>
  <sheetData>
    <row r="1" spans="1:13">
      <c r="A1" s="1" t="s">
        <v>63</v>
      </c>
      <c r="B1" s="11"/>
      <c r="C1" s="2"/>
      <c r="D1" s="9" t="s">
        <v>64</v>
      </c>
      <c r="E1" s="2"/>
      <c r="F1" s="2"/>
      <c r="G1" s="2"/>
      <c r="H1" s="2"/>
      <c r="I1" s="2"/>
      <c r="J1" s="2"/>
      <c r="K1" s="2"/>
      <c r="L1" s="2"/>
      <c r="M1" s="3"/>
    </row>
    <row r="2" spans="1:13">
      <c r="A2" s="4" t="s">
        <v>65</v>
      </c>
      <c r="B2" s="10" t="s">
        <v>66</v>
      </c>
      <c r="M2" s="5"/>
    </row>
    <row r="3" spans="1:13">
      <c r="A3" s="4" t="s">
        <v>67</v>
      </c>
      <c r="B3" s="10" t="s">
        <v>68</v>
      </c>
      <c r="M3" s="5"/>
    </row>
    <row r="4" spans="1:13">
      <c r="A4" s="4" t="s">
        <v>69</v>
      </c>
      <c r="B4" s="10" t="s">
        <v>70</v>
      </c>
      <c r="M4" s="5"/>
    </row>
    <row r="5" spans="1:13">
      <c r="A5" s="4"/>
      <c r="M5" s="5"/>
    </row>
    <row r="6" spans="1:13">
      <c r="A6" s="4" t="s">
        <v>71</v>
      </c>
      <c r="B6" s="10" t="s">
        <v>72</v>
      </c>
      <c r="M6" s="5"/>
    </row>
    <row r="7" spans="1:13">
      <c r="A7" t="s">
        <v>73</v>
      </c>
      <c r="B7" s="19">
        <v>45000</v>
      </c>
      <c r="C7" s="19">
        <v>52500</v>
      </c>
      <c r="M7" s="5"/>
    </row>
    <row r="8" spans="1:13">
      <c r="A8" s="4"/>
      <c r="M8" s="5"/>
    </row>
    <row r="9" spans="1:13">
      <c r="A9" s="4" t="s">
        <v>74</v>
      </c>
      <c r="B9" s="17">
        <f>300000*1.07</f>
        <v>321000</v>
      </c>
      <c r="C9" t="s">
        <v>75</v>
      </c>
      <c r="M9" s="5"/>
    </row>
    <row r="10" spans="1:13" ht="15.75" thickBot="1">
      <c r="A10" s="4"/>
      <c r="B10" s="17">
        <f>B9/14</f>
        <v>22928.571428571428</v>
      </c>
      <c r="C10" t="s">
        <v>76</v>
      </c>
      <c r="M10" s="5"/>
    </row>
    <row r="11" spans="1:13" ht="15.75" thickBot="1">
      <c r="A11" s="13" t="s">
        <v>77</v>
      </c>
      <c r="B11" s="20">
        <f>B7+B10</f>
        <v>67928.57142857142</v>
      </c>
      <c r="C11" s="16">
        <f>B10+C7</f>
        <v>75428.57142857142</v>
      </c>
      <c r="M11" s="5"/>
    </row>
    <row r="12" spans="1:13" ht="15.75" thickBot="1">
      <c r="A12" s="6"/>
      <c r="B12" s="12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>
      <c r="A13" s="1" t="s">
        <v>78</v>
      </c>
      <c r="B13" s="11"/>
      <c r="C13" s="2"/>
      <c r="D13" s="9" t="s">
        <v>79</v>
      </c>
      <c r="E13" s="2"/>
      <c r="F13" s="2"/>
      <c r="G13" s="2"/>
      <c r="H13" s="2"/>
      <c r="I13" s="2"/>
      <c r="J13" s="2"/>
      <c r="K13" s="2"/>
      <c r="L13" s="2"/>
      <c r="M13" s="3"/>
    </row>
    <row r="14" spans="1:13">
      <c r="A14" s="4" t="s">
        <v>80</v>
      </c>
      <c r="B14" s="10" t="s">
        <v>81</v>
      </c>
      <c r="M14" s="5"/>
    </row>
    <row r="15" spans="1:13">
      <c r="A15" s="4" t="s">
        <v>67</v>
      </c>
      <c r="B15" s="10" t="s">
        <v>82</v>
      </c>
      <c r="M15" s="5"/>
    </row>
    <row r="16" spans="1:13">
      <c r="A16" s="4" t="s">
        <v>69</v>
      </c>
      <c r="B16" s="10" t="s">
        <v>83</v>
      </c>
      <c r="M16" s="5"/>
    </row>
    <row r="17" spans="1:13">
      <c r="A17" s="4" t="s">
        <v>84</v>
      </c>
      <c r="B17" s="10">
        <v>4250</v>
      </c>
      <c r="M17" s="5"/>
    </row>
    <row r="18" spans="1:13">
      <c r="A18" s="4"/>
      <c r="M18" s="5"/>
    </row>
    <row r="19" spans="1:13">
      <c r="A19" s="4" t="s">
        <v>71</v>
      </c>
      <c r="B19" s="10">
        <v>4250</v>
      </c>
      <c r="M19" s="5"/>
    </row>
    <row r="20" spans="1:13">
      <c r="A20" t="s">
        <v>73</v>
      </c>
      <c r="B20" s="19">
        <v>26230</v>
      </c>
      <c r="C20" s="19">
        <v>29715</v>
      </c>
      <c r="M20" s="5"/>
    </row>
    <row r="21" spans="1:13">
      <c r="A21" s="4"/>
      <c r="M21" s="5"/>
    </row>
    <row r="22" spans="1:13">
      <c r="A22" s="4" t="s">
        <v>74</v>
      </c>
      <c r="B22" s="17">
        <f>82000*1.07</f>
        <v>87740</v>
      </c>
      <c r="C22" t="s">
        <v>75</v>
      </c>
      <c r="M22" s="5"/>
    </row>
    <row r="23" spans="1:13" ht="15.75" thickBot="1">
      <c r="A23" s="4"/>
      <c r="B23" s="17">
        <f>B22/14</f>
        <v>6267.1428571428569</v>
      </c>
      <c r="C23" t="s">
        <v>76</v>
      </c>
      <c r="M23" s="5"/>
    </row>
    <row r="24" spans="1:13" ht="15.75" thickBot="1">
      <c r="A24" s="13" t="s">
        <v>77</v>
      </c>
      <c r="B24" s="20">
        <f>B20+B23</f>
        <v>32497.142857142855</v>
      </c>
      <c r="C24" s="16">
        <f>B23+C20</f>
        <v>35982.142857142855</v>
      </c>
      <c r="M24" s="5"/>
    </row>
    <row r="25" spans="1:13" ht="15.75" thickBot="1">
      <c r="A25" s="6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>
      <c r="A26" s="1" t="s">
        <v>85</v>
      </c>
      <c r="B26" s="11"/>
      <c r="C26" s="2"/>
      <c r="D26" s="9" t="s">
        <v>86</v>
      </c>
      <c r="E26" s="2"/>
      <c r="F26" s="2"/>
      <c r="G26" s="2"/>
      <c r="H26" s="2"/>
      <c r="I26" s="2"/>
      <c r="J26" s="2"/>
      <c r="K26" s="2"/>
      <c r="L26" s="2"/>
      <c r="M26" s="3"/>
    </row>
    <row r="27" spans="1:13">
      <c r="A27" s="4" t="s">
        <v>87</v>
      </c>
      <c r="B27" s="10" t="s">
        <v>88</v>
      </c>
      <c r="M27" s="5"/>
    </row>
    <row r="28" spans="1:13">
      <c r="A28" s="4" t="s">
        <v>67</v>
      </c>
      <c r="B28" s="10" t="s">
        <v>89</v>
      </c>
      <c r="M28" s="5"/>
    </row>
    <row r="29" spans="1:13">
      <c r="A29" s="4" t="s">
        <v>69</v>
      </c>
      <c r="B29" s="10" t="s">
        <v>90</v>
      </c>
      <c r="M29" s="5"/>
    </row>
    <row r="30" spans="1:13">
      <c r="A30" s="4" t="s">
        <v>91</v>
      </c>
      <c r="B30" s="10">
        <v>950</v>
      </c>
      <c r="M30" s="5"/>
    </row>
    <row r="31" spans="1:13">
      <c r="A31" s="4" t="s">
        <v>92</v>
      </c>
      <c r="B31" s="10">
        <v>75</v>
      </c>
      <c r="M31" s="5"/>
    </row>
    <row r="32" spans="1:13">
      <c r="A32" s="4" t="s">
        <v>93</v>
      </c>
      <c r="B32" s="10">
        <v>0.5</v>
      </c>
      <c r="C32" s="10">
        <v>0.8</v>
      </c>
      <c r="M32" s="5"/>
    </row>
    <row r="33" spans="1:13">
      <c r="A33" s="4" t="s">
        <v>73</v>
      </c>
      <c r="B33" s="19">
        <f>950*B32*(35+(270-35)/4)</f>
        <v>44531.25</v>
      </c>
      <c r="C33" s="19">
        <f>950*C32*(270-(270-35)/4)</f>
        <v>160550</v>
      </c>
      <c r="M33" s="5"/>
    </row>
    <row r="34" spans="1:13">
      <c r="A34" s="4"/>
      <c r="M34" s="5"/>
    </row>
    <row r="35" spans="1:13">
      <c r="A35" s="4" t="s">
        <v>74</v>
      </c>
      <c r="B35" s="23">
        <f>34400*1.07</f>
        <v>36808</v>
      </c>
      <c r="C35" t="s">
        <v>75</v>
      </c>
      <c r="M35" s="5"/>
    </row>
    <row r="36" spans="1:13" ht="15.75" thickBot="1">
      <c r="A36" s="4"/>
      <c r="B36" s="23">
        <f>B35/14</f>
        <v>2629.1428571428573</v>
      </c>
      <c r="C36" t="s">
        <v>76</v>
      </c>
      <c r="M36" s="5"/>
    </row>
    <row r="37" spans="1:13" ht="15.75" thickBot="1">
      <c r="A37" s="13" t="s">
        <v>77</v>
      </c>
      <c r="B37" s="20">
        <f>B33+B36</f>
        <v>47160.392857142855</v>
      </c>
      <c r="C37" s="16">
        <f>B36+C33</f>
        <v>163179.14285714287</v>
      </c>
      <c r="M37" s="5"/>
    </row>
    <row r="38" spans="1:13" ht="15.75" thickBot="1">
      <c r="A38" s="13"/>
      <c r="B38" s="20"/>
      <c r="C38" s="18"/>
      <c r="D38" s="7"/>
      <c r="E38" s="7"/>
      <c r="F38" s="7"/>
      <c r="G38" s="7"/>
      <c r="H38" s="7"/>
      <c r="I38" s="7"/>
      <c r="J38" s="7"/>
      <c r="K38" s="7"/>
      <c r="L38" s="7"/>
      <c r="M38" s="8"/>
    </row>
    <row r="39" spans="1:13">
      <c r="A39" s="1" t="s">
        <v>94</v>
      </c>
      <c r="B39" s="11"/>
      <c r="C39" s="2"/>
      <c r="D39" s="9" t="s">
        <v>95</v>
      </c>
      <c r="E39" s="2"/>
      <c r="F39" s="2"/>
      <c r="G39" s="2"/>
      <c r="H39" s="2"/>
      <c r="I39" s="2"/>
      <c r="J39" s="2"/>
      <c r="K39" s="2"/>
      <c r="L39" s="2"/>
      <c r="M39" s="3"/>
    </row>
    <row r="40" spans="1:13">
      <c r="A40" s="4" t="s">
        <v>96</v>
      </c>
      <c r="B40" s="10" t="s">
        <v>97</v>
      </c>
      <c r="M40" s="5"/>
    </row>
    <row r="41" spans="1:13">
      <c r="A41" s="4" t="s">
        <v>67</v>
      </c>
      <c r="B41" s="10" t="s">
        <v>98</v>
      </c>
      <c r="M41" s="5"/>
    </row>
    <row r="42" spans="1:13">
      <c r="A42" s="4" t="s">
        <v>69</v>
      </c>
      <c r="B42" s="10" t="s">
        <v>99</v>
      </c>
      <c r="M42" s="5"/>
    </row>
    <row r="43" spans="1:13">
      <c r="A43" s="4"/>
      <c r="M43" s="5"/>
    </row>
    <row r="44" spans="1:13">
      <c r="A44" s="4" t="s">
        <v>71</v>
      </c>
      <c r="B44" s="10" t="s">
        <v>100</v>
      </c>
      <c r="M44" s="5"/>
    </row>
    <row r="45" spans="1:13">
      <c r="A45" s="4" t="s">
        <v>73</v>
      </c>
      <c r="B45" s="19">
        <v>23500</v>
      </c>
      <c r="C45" s="19">
        <v>25500</v>
      </c>
      <c r="M45" s="5"/>
    </row>
    <row r="46" spans="1:13">
      <c r="A46" s="4"/>
      <c r="M46" s="5"/>
    </row>
    <row r="47" spans="1:13">
      <c r="A47" s="4" t="s">
        <v>74</v>
      </c>
      <c r="B47" s="23">
        <f>198000*1.07</f>
        <v>211860</v>
      </c>
      <c r="C47" t="s">
        <v>75</v>
      </c>
      <c r="M47" s="5"/>
    </row>
    <row r="48" spans="1:13" ht="15.75" thickBot="1">
      <c r="A48" s="4"/>
      <c r="B48" s="23">
        <f>B47/14</f>
        <v>15132.857142857143</v>
      </c>
      <c r="C48" t="s">
        <v>76</v>
      </c>
      <c r="M48" s="5"/>
    </row>
    <row r="49" spans="1:13" ht="15.75" thickBot="1">
      <c r="A49" s="13" t="s">
        <v>77</v>
      </c>
      <c r="B49" s="20">
        <f>B45+B48</f>
        <v>38632.857142857145</v>
      </c>
      <c r="C49" s="16">
        <f>B48+C45</f>
        <v>40632.857142857145</v>
      </c>
      <c r="M49" s="5"/>
    </row>
    <row r="50" spans="1:13" ht="15.75" thickBot="1">
      <c r="A50" s="6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</row>
    <row r="53" spans="1:13"/>
  </sheetData>
  <hyperlinks>
    <hyperlink ref="D13" r:id="rId1" xr:uid="{3BF957B8-5E56-4DBC-BA7A-710A50ABE261}"/>
    <hyperlink ref="D1" r:id="rId2" xr:uid="{9FCE867F-6233-463F-8286-2767F7AC94B4}"/>
    <hyperlink ref="D39" r:id="rId3" xr:uid="{5ED24A28-A62E-4FBE-B67D-C9615B9F69BE}"/>
    <hyperlink ref="D26" r:id="rId4" location=":~:text=What%20companies%20run%20services%20between,this%20route%20once%20a%20week" xr:uid="{520D9184-C02F-4C79-9269-5BC8128878D8}"/>
  </hyperlinks>
  <pageMargins left="0.7" right="0.7" top="0.75" bottom="0.75" header="0.3" footer="0.3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9B38-76C6-4D6B-82DC-00E74F357A6C}">
  <dimension ref="A2:H27"/>
  <sheetViews>
    <sheetView workbookViewId="0">
      <selection activeCell="E3" sqref="E3"/>
    </sheetView>
  </sheetViews>
  <sheetFormatPr defaultRowHeight="15"/>
  <cols>
    <col min="1" max="1" width="57.5703125" bestFit="1" customWidth="1"/>
    <col min="2" max="2" width="22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24</v>
      </c>
    </row>
    <row r="3" spans="1:8" ht="15.75" thickBot="1">
      <c r="A3" t="s">
        <v>2</v>
      </c>
      <c r="B3" s="41" t="s">
        <v>25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18.63013698630137</v>
      </c>
      <c r="G6" s="14">
        <f>C7*C6/365</f>
        <v>32.876712328767127</v>
      </c>
    </row>
    <row r="7" spans="1:8">
      <c r="A7" t="s">
        <v>9</v>
      </c>
      <c r="B7" s="14">
        <f>VLOOKUP($B$3,Sail_Charac[],2,0)</f>
        <v>340000</v>
      </c>
      <c r="C7" s="14">
        <f>VLOOKUP($B$3,Sail_Charac[],3,0)</f>
        <v>600000</v>
      </c>
      <c r="H7" s="15"/>
    </row>
    <row r="8" spans="1:8">
      <c r="A8" t="s">
        <v>10</v>
      </c>
      <c r="B8">
        <f>VLOOKUP($B$3,Sail_Charac[],4,0)</f>
        <v>2</v>
      </c>
      <c r="C8">
        <f>VLOOKUP($B$3,Sail_Charac[],5,0)</f>
        <v>7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192.08159022257044</v>
      </c>
      <c r="G14" s="29">
        <f>(C$7+C8*'Costs C'!C11)/(F13-G$6)</f>
        <v>902.28213476113569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0.52625093211663132</v>
      </c>
      <c r="G15" s="45">
        <f>G14/365</f>
        <v>2.4720058486606455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163.4775217704528</v>
      </c>
      <c r="G18" s="29">
        <f>(C$7+C8*'Costs C'!C24)/(F17-G$6)</f>
        <v>681.41098718939941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0.44788362128891179</v>
      </c>
      <c r="G19" s="48">
        <f>G18/365</f>
        <v>1.8668794169572587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175.31527778655473</v>
      </c>
      <c r="G22" s="29">
        <f>(C$7+C8*'Costs C'!C37)/(F21-G$6)</f>
        <v>1393.6211510781275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0.48031582955220475</v>
      </c>
      <c r="G23" s="48">
        <f>G22/365</f>
        <v>3.8181401399400752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168.43093173746539</v>
      </c>
      <c r="G26" s="29">
        <f>(C$7+C8*'Costs C'!C49)/(F25-G$6)</f>
        <v>707.45158550247447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0.46145460749990519</v>
      </c>
      <c r="G27" s="48">
        <f>G26/365</f>
        <v>1.9382235219245876</v>
      </c>
    </row>
  </sheetData>
  <dataValidations count="2">
    <dataValidation type="list" allowBlank="1" showInputMessage="1" showErrorMessage="1" sqref="B3" xr:uid="{B72581B7-4FBA-4419-92D1-7E1C83E0B30A}">
      <formula1>Sail_ddown</formula1>
    </dataValidation>
    <dataValidation type="decimal" allowBlank="1" showInputMessage="1" showErrorMessage="1" errorTitle="Invalid input" error="Enter a value between 0 and 1" sqref="B9:C10" xr:uid="{5713FA9E-965F-485A-B148-7266B7F55832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E509-24A5-4D03-8ED2-A03E99E65A0B}">
  <dimension ref="A2:H27"/>
  <sheetViews>
    <sheetView topLeftCell="A6" workbookViewId="0">
      <selection activeCell="C2" sqref="C2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26</v>
      </c>
    </row>
    <row r="3" spans="1:8" ht="15.75" thickBot="1">
      <c r="A3" t="s">
        <v>2</v>
      </c>
      <c r="B3" s="41" t="s">
        <v>27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153.42465753424656</v>
      </c>
      <c r="G6" s="14">
        <f>C7*C6/365</f>
        <v>197.26027397260273</v>
      </c>
    </row>
    <row r="7" spans="1:8">
      <c r="A7" t="s">
        <v>9</v>
      </c>
      <c r="B7" s="14">
        <f>VLOOKUP($B$3,Rotor_Charac[],2,0)</f>
        <v>2800000</v>
      </c>
      <c r="C7" s="14">
        <f>VLOOKUP($B$3,Rotor_Charac[],3,0)</f>
        <v>3600000</v>
      </c>
      <c r="H7" s="15"/>
    </row>
    <row r="8" spans="1:8">
      <c r="A8" t="s">
        <v>10</v>
      </c>
      <c r="B8">
        <f>VLOOKUP($B$3,Rotor_Charac[],4,0)</f>
        <v>2</v>
      </c>
      <c r="C8">
        <f>VLOOKUP($B$3,Rotor_Charac[],5,0)</f>
        <v>7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1253.2604990911034</v>
      </c>
      <c r="G14" s="29">
        <f>(C$7+C8*'Costs C'!C11)/(F13-G$6)</f>
        <v>3801.8761089814625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3.4335904084687763</v>
      </c>
      <c r="G15" s="45">
        <f>G14/365</f>
        <v>10.416098928716336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1223.0105191402909</v>
      </c>
      <c r="G18" s="29">
        <f>(C$7+C8*'Costs C'!C24)/(F17-G$6)</f>
        <v>3547.5657793805649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3.3507137510692901</v>
      </c>
      <c r="G19" s="48">
        <f>G18/365</f>
        <v>9.7193582996727805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1235.5294334600887</v>
      </c>
      <c r="G22" s="29">
        <f>(C$7+C8*'Costs C'!C37)/(F21-G$6)</f>
        <v>4367.6022735760116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3.3850121464659964</v>
      </c>
      <c r="G23" s="48">
        <f>G22/365</f>
        <v>11.966033626235648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1228.2489541007269</v>
      </c>
      <c r="G26" s="29">
        <f>(C$7+C8*'Costs C'!C49)/(F25-G$6)</f>
        <v>3577.5488406034065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3.3650656276732245</v>
      </c>
      <c r="G27" s="48">
        <f>G26/365</f>
        <v>9.8015036728860458</v>
      </c>
    </row>
  </sheetData>
  <dataValidations count="2">
    <dataValidation type="list" allowBlank="1" showInputMessage="1" showErrorMessage="1" sqref="B3" xr:uid="{01C05130-D21F-4281-ACD0-19BA31F9ABA4}">
      <formula1>Rotor_ddown</formula1>
    </dataValidation>
    <dataValidation type="decimal" allowBlank="1" showInputMessage="1" showErrorMessage="1" errorTitle="Invalid input" error="Enter a value between 0 and 1" sqref="B9:C10" xr:uid="{AE3F5F34-76BC-44AD-A5DF-76A8CEB3FCC0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61D-D13E-47F2-9FF3-32831CBA8B59}">
  <dimension ref="A2:H26"/>
  <sheetViews>
    <sheetView workbookViewId="0">
      <selection activeCell="B3" sqref="B3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28</v>
      </c>
    </row>
    <row r="3" spans="1:8" ht="15.75" thickBot="1">
      <c r="A3" t="s">
        <v>2</v>
      </c>
      <c r="B3" s="41" t="s">
        <v>29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9</v>
      </c>
      <c r="B6" s="14">
        <f>IF($B$3="coating 1",MIN('Main info GS techs'!C27:C30),MIN('Main info GS techs'!C31:C34))</f>
        <v>12000</v>
      </c>
      <c r="C6" s="14">
        <f>IF($B$3="coating 1",MAX('Main info GS techs'!D27:D30),MAX('Main info GS techs'!D31:D34))</f>
        <v>146300</v>
      </c>
      <c r="E6" t="s">
        <v>8</v>
      </c>
      <c r="F6" s="14">
        <v>0</v>
      </c>
      <c r="G6" s="14">
        <v>0</v>
      </c>
      <c r="H6" s="15"/>
    </row>
    <row r="7" spans="1:8">
      <c r="A7" t="s">
        <v>10</v>
      </c>
      <c r="B7">
        <f>VLOOKUP($B$3,Hull_c_type[],2,0)</f>
        <v>0</v>
      </c>
      <c r="C7">
        <f>VLOOKUP($B$3,Hull_c_type[],3,0)</f>
        <v>3</v>
      </c>
    </row>
    <row r="8" spans="1:8">
      <c r="A8" t="s">
        <v>11</v>
      </c>
      <c r="B8" s="26">
        <v>0.6</v>
      </c>
      <c r="C8" s="26">
        <v>0.8</v>
      </c>
      <c r="D8" s="49" t="s">
        <v>12</v>
      </c>
    </row>
    <row r="9" spans="1:8">
      <c r="A9" t="s">
        <v>13</v>
      </c>
      <c r="B9" s="26">
        <v>1</v>
      </c>
      <c r="C9" s="26">
        <v>1</v>
      </c>
      <c r="D9" s="49" t="s">
        <v>12</v>
      </c>
    </row>
    <row r="10" spans="1:8" ht="15.75" thickBot="1">
      <c r="B10" s="34" t="s">
        <v>4</v>
      </c>
      <c r="C10" s="34" t="s">
        <v>5</v>
      </c>
      <c r="F10" s="34" t="s">
        <v>4</v>
      </c>
      <c r="G10" s="34" t="s">
        <v>5</v>
      </c>
    </row>
    <row r="11" spans="1:8">
      <c r="A11" s="22" t="s">
        <v>14</v>
      </c>
      <c r="B11" s="2"/>
      <c r="C11" s="2"/>
      <c r="D11" s="2"/>
      <c r="E11" s="2" t="s">
        <v>30</v>
      </c>
      <c r="F11" s="37">
        <f>IF($B$3="coating 1",'Main info GS techs'!C27,'Main info GS techs'!C31)</f>
        <v>123350</v>
      </c>
      <c r="G11" s="38">
        <f>IF($B$3="coating 1",'Main info GS techs'!D27,'Main info GS techs'!D31)</f>
        <v>146300</v>
      </c>
    </row>
    <row r="12" spans="1:8">
      <c r="A12" s="4" t="s">
        <v>15</v>
      </c>
      <c r="B12" s="27">
        <f>IF($B$3="coating 1",0.005*1.44,0.01*1.44)</f>
        <v>7.1999999999999998E-3</v>
      </c>
      <c r="C12" s="27">
        <f>IF($B$3="coating 1",0.02*1.44,0.05*1.44)</f>
        <v>2.8799999999999999E-2</v>
      </c>
      <c r="E12" t="s">
        <v>16</v>
      </c>
      <c r="F12" s="14">
        <f>B14*B$5</f>
        <v>57.024000000000008</v>
      </c>
      <c r="G12" s="33">
        <f>C14*C$5</f>
        <v>359.42399999999998</v>
      </c>
    </row>
    <row r="13" spans="1:8">
      <c r="A13" s="4" t="s">
        <v>17</v>
      </c>
      <c r="B13" s="30">
        <f>B12*24</f>
        <v>0.17280000000000001</v>
      </c>
      <c r="C13" s="30">
        <f>C12*24</f>
        <v>0.69120000000000004</v>
      </c>
      <c r="E13" t="s">
        <v>18</v>
      </c>
      <c r="F13" s="28">
        <f>(F$11+B7*'Costs C'!B11)/(G12)</f>
        <v>343.18798967236467</v>
      </c>
      <c r="G13" s="29">
        <f>(G$11+C7*'Costs C'!C11)/(F12)</f>
        <v>6533.8403880070537</v>
      </c>
    </row>
    <row r="14" spans="1:8" ht="15.75" thickBot="1">
      <c r="A14" s="4" t="s">
        <v>19</v>
      </c>
      <c r="B14" s="30">
        <f>B13*B$8*B$9</f>
        <v>0.10368000000000001</v>
      </c>
      <c r="C14" s="30">
        <f>C13*C$8*C$9</f>
        <v>0.55296000000000001</v>
      </c>
      <c r="E14" s="43" t="s">
        <v>20</v>
      </c>
      <c r="F14" s="44">
        <f>F13/365</f>
        <v>0.94024106759551962</v>
      </c>
      <c r="G14" s="45">
        <f>G13/365</f>
        <v>17.90093256988234</v>
      </c>
    </row>
    <row r="15" spans="1:8">
      <c r="A15" s="22" t="s">
        <v>21</v>
      </c>
      <c r="B15" s="32"/>
      <c r="C15" s="32"/>
      <c r="D15" s="2"/>
      <c r="E15" s="2" t="s">
        <v>30</v>
      </c>
      <c r="F15" s="37">
        <f>IF($B$3="coating 1",'Main info GS techs'!C28,'Main info GS techs'!C32)</f>
        <v>54180</v>
      </c>
      <c r="G15" s="38">
        <f>IF($B$3="coating 1",'Main info GS techs'!D28,'Main info GS techs'!D32)</f>
        <v>64260</v>
      </c>
    </row>
    <row r="16" spans="1:8">
      <c r="A16" s="4" t="s">
        <v>15</v>
      </c>
      <c r="B16" s="27">
        <f>IF($B$3="coating 1",0.005*1.44,0.01*1.44)</f>
        <v>7.1999999999999998E-3</v>
      </c>
      <c r="C16" s="27">
        <f>IF($B$3="coating 1",0.02*1.44,0.05*1.44)</f>
        <v>2.8799999999999999E-2</v>
      </c>
      <c r="E16" t="s">
        <v>16</v>
      </c>
      <c r="F16" s="14">
        <f>B18*B$5</f>
        <v>57.024000000000008</v>
      </c>
      <c r="G16" s="33">
        <f>C18*C$5</f>
        <v>359.42399999999998</v>
      </c>
    </row>
    <row r="17" spans="1:7">
      <c r="A17" s="4" t="s">
        <v>17</v>
      </c>
      <c r="B17" s="30">
        <f>B16*24</f>
        <v>0.17280000000000001</v>
      </c>
      <c r="C17" s="30">
        <f>C16*24</f>
        <v>0.69120000000000004</v>
      </c>
      <c r="E17" t="s">
        <v>18</v>
      </c>
      <c r="F17" s="28">
        <f>(F$15+B7*'Costs C'!B24)/(G16)</f>
        <v>150.74118589743591</v>
      </c>
      <c r="G17" s="29">
        <f>(G$15+C7*'Costs C'!C24)/(F16)</f>
        <v>3019.8938792688791</v>
      </c>
    </row>
    <row r="18" spans="1:7" ht="15.75" thickBot="1">
      <c r="A18" s="6" t="s">
        <v>19</v>
      </c>
      <c r="B18" s="31">
        <f>B17*B$8*B$9</f>
        <v>0.10368000000000001</v>
      </c>
      <c r="C18" s="31">
        <f>C17*C$8*C$9</f>
        <v>0.55296000000000001</v>
      </c>
      <c r="D18" s="7"/>
      <c r="E18" s="46" t="s">
        <v>20</v>
      </c>
      <c r="F18" s="47">
        <f>F17/365</f>
        <v>0.41298955040393398</v>
      </c>
      <c r="G18" s="48">
        <f>G17/365</f>
        <v>8.273681861010628</v>
      </c>
    </row>
    <row r="19" spans="1:7">
      <c r="A19" s="22" t="s">
        <v>22</v>
      </c>
      <c r="B19" s="32"/>
      <c r="C19" s="32"/>
      <c r="D19" s="2"/>
      <c r="E19" s="2" t="s">
        <v>30</v>
      </c>
      <c r="F19" s="37">
        <f>IF($B$3="coating 1",'Main info GS techs'!C29,'Main info GS techs'!C33)</f>
        <v>12000</v>
      </c>
      <c r="G19" s="38">
        <f>IF($B$3="coating 1",'Main info GS techs'!D29,'Main info GS techs'!D33)</f>
        <v>14230</v>
      </c>
    </row>
    <row r="20" spans="1:7">
      <c r="A20" s="4" t="s">
        <v>15</v>
      </c>
      <c r="B20" s="27">
        <f>IF($B$3="coating 1",0.005*1.44,0.01*1.44)</f>
        <v>7.1999999999999998E-3</v>
      </c>
      <c r="C20" s="27">
        <f>IF($B$3="coating 1",0.02*1.44,0.05*1.44)</f>
        <v>2.8799999999999999E-2</v>
      </c>
      <c r="E20" t="s">
        <v>16</v>
      </c>
      <c r="F20" s="14">
        <f>B22*B$5</f>
        <v>57.024000000000008</v>
      </c>
      <c r="G20" s="33">
        <f>C22*C$5</f>
        <v>359.42399999999998</v>
      </c>
    </row>
    <row r="21" spans="1:7">
      <c r="A21" s="4" t="s">
        <v>17</v>
      </c>
      <c r="B21" s="30">
        <f>B20*24</f>
        <v>0.17280000000000001</v>
      </c>
      <c r="C21" s="30">
        <f>C20*24</f>
        <v>0.69120000000000004</v>
      </c>
      <c r="E21" t="s">
        <v>18</v>
      </c>
      <c r="F21" s="28">
        <f>(F$19+B7*'Costs C'!B37)/(G20)</f>
        <v>33.386752136752136</v>
      </c>
      <c r="G21" s="29">
        <f>(G$19+C7*'Costs C'!C37)/(F20)</f>
        <v>8834.3053551386893</v>
      </c>
    </row>
    <row r="22" spans="1:7" ht="15.75" thickBot="1">
      <c r="A22" s="6" t="s">
        <v>19</v>
      </c>
      <c r="B22" s="31">
        <f>B21*B$8*B$9</f>
        <v>0.10368000000000001</v>
      </c>
      <c r="C22" s="31">
        <f>C21*C$8*C$9</f>
        <v>0.55296000000000001</v>
      </c>
      <c r="D22" s="7"/>
      <c r="E22" s="46" t="s">
        <v>20</v>
      </c>
      <c r="F22" s="47">
        <f>F21/365</f>
        <v>9.1470553799320925E-2</v>
      </c>
      <c r="G22" s="48">
        <f>G21/365</f>
        <v>24.203576315448462</v>
      </c>
    </row>
    <row r="23" spans="1:7">
      <c r="A23" s="21" t="s">
        <v>23</v>
      </c>
      <c r="B23" s="30"/>
      <c r="C23" s="30"/>
      <c r="E23" s="2" t="s">
        <v>30</v>
      </c>
      <c r="F23" s="37">
        <f>IF($B$3="coating 1",'Main info GS techs'!C30,'Main info GS techs'!C34)</f>
        <v>100520</v>
      </c>
      <c r="G23" s="38">
        <f>IF($B$3="coating 1",'Main info GS techs'!D30,'Main info GS techs'!D34)</f>
        <v>119220</v>
      </c>
    </row>
    <row r="24" spans="1:7">
      <c r="A24" s="4" t="s">
        <v>15</v>
      </c>
      <c r="B24" s="27">
        <v>0.18</v>
      </c>
      <c r="C24" s="27">
        <v>0.2</v>
      </c>
      <c r="E24" t="s">
        <v>16</v>
      </c>
      <c r="F24" s="14">
        <f>B26*B$5</f>
        <v>1425.6000000000001</v>
      </c>
      <c r="G24" s="33">
        <f>C26*C$5</f>
        <v>2496.0000000000005</v>
      </c>
    </row>
    <row r="25" spans="1:7">
      <c r="A25" s="4" t="s">
        <v>17</v>
      </c>
      <c r="B25" s="30">
        <f>B24*24</f>
        <v>4.32</v>
      </c>
      <c r="C25" s="30">
        <f>C24*24</f>
        <v>4.8000000000000007</v>
      </c>
      <c r="E25" t="s">
        <v>18</v>
      </c>
      <c r="F25" s="28">
        <f>(F$23+B7*'Costs C'!B49)/(G24)</f>
        <v>40.272435897435891</v>
      </c>
      <c r="G25" s="29">
        <f>(G$23+C7*'Costs C'!C49)/(F24)</f>
        <v>169.13480038480037</v>
      </c>
    </row>
    <row r="26" spans="1:7" ht="15.75" thickBot="1">
      <c r="A26" s="6" t="s">
        <v>19</v>
      </c>
      <c r="B26" s="31">
        <f>B25*B$8*B$9</f>
        <v>2.5920000000000001</v>
      </c>
      <c r="C26" s="31">
        <f>C25*C$8*C$9</f>
        <v>3.8400000000000007</v>
      </c>
      <c r="D26" s="7"/>
      <c r="E26" s="46" t="s">
        <v>20</v>
      </c>
      <c r="F26" s="47">
        <f>F25/365</f>
        <v>0.11033544081489285</v>
      </c>
      <c r="G26" s="48">
        <f>G25/365</f>
        <v>0.46338301475287774</v>
      </c>
    </row>
  </sheetData>
  <dataValidations count="2">
    <dataValidation type="list" allowBlank="1" showInputMessage="1" showErrorMessage="1" sqref="B3" xr:uid="{8F591055-814B-4C8E-BEE5-0678FA3129A0}">
      <formula1>Hull_c_type_ddown</formula1>
    </dataValidation>
    <dataValidation type="decimal" allowBlank="1" showInputMessage="1" showErrorMessage="1" errorTitle="Invalid input" error="Enter a value between 0 and 1" sqref="B8:C9" xr:uid="{16195510-B8F2-41CC-BB02-97910EC0FC54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6CC7-C80C-4CCD-8B36-063810EB78E4}">
  <dimension ref="A2:H27"/>
  <sheetViews>
    <sheetView workbookViewId="0">
      <selection activeCell="B3" sqref="B3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31</v>
      </c>
    </row>
    <row r="3" spans="1:8" ht="15.75" thickBot="1">
      <c r="A3" t="s">
        <v>2</v>
      </c>
      <c r="B3" s="41" t="s">
        <v>32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32.876712328767127</v>
      </c>
      <c r="G6" s="14">
        <f>C7*C6/365</f>
        <v>35.61643835616438</v>
      </c>
    </row>
    <row r="7" spans="1:8">
      <c r="A7" t="s">
        <v>9</v>
      </c>
      <c r="B7" s="14">
        <f>VLOOKUP($B$3,New_tech[],2,0)</f>
        <v>600000</v>
      </c>
      <c r="C7" s="14">
        <f>VLOOKUP($B$3,New_tech[],3,0)</f>
        <v>650000</v>
      </c>
      <c r="H7" s="15"/>
    </row>
    <row r="8" spans="1:8">
      <c r="A8" t="s">
        <v>10</v>
      </c>
      <c r="B8">
        <f>VLOOKUP($B$3,New_tech[],4,0)</f>
        <v>2</v>
      </c>
      <c r="C8">
        <f>VLOOKUP($B$3,New_tech[],5,0)</f>
        <v>4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298.74961864083588</v>
      </c>
      <c r="G14" s="29">
        <f>(C$7+C8*'Costs C'!C11)/(F13-G$6)</f>
        <v>762.9439710599429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0.81849210586530374</v>
      </c>
      <c r="G15" s="45">
        <f>G14/365</f>
        <v>2.0902574549587478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269.98010576360809</v>
      </c>
      <c r="G18" s="29">
        <f>(C$7+C8*'Costs C'!C24)/(F17-G$6)</f>
        <v>636.45468615515347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0.73967152264002223</v>
      </c>
      <c r="G19" s="48">
        <f>G18/365</f>
        <v>1.7437114689182287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281.88633073691295</v>
      </c>
      <c r="G22" s="29">
        <f>(C$7+C8*'Costs C'!C37)/(F21-G$6)</f>
        <v>1044.3257699188166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0.7722913170874327</v>
      </c>
      <c r="G23" s="48">
        <f>G22/365</f>
        <v>2.8611664929282647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274.96216599293211</v>
      </c>
      <c r="G26" s="29">
        <f>(C$7+C8*'Costs C'!C49)/(F25-G$6)</f>
        <v>651.36770985845976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0.75332100272036195</v>
      </c>
      <c r="G27" s="48">
        <f>G26/365</f>
        <v>1.7845690681053692</v>
      </c>
    </row>
  </sheetData>
  <dataValidations count="2">
    <dataValidation type="decimal" allowBlank="1" showInputMessage="1" showErrorMessage="1" errorTitle="Invalid input" error="Enter a value between 0 and 1" sqref="B9:C10" xr:uid="{515E26E0-4766-48F5-85D5-098B8E6A4E7A}">
      <formula1>0.01</formula1>
      <formula2>1</formula2>
    </dataValidation>
    <dataValidation type="list" allowBlank="1" showInputMessage="1" showErrorMessage="1" sqref="B3" xr:uid="{5D559B85-B248-49D4-A5D5-E1641913D444}">
      <formula1>new_ddown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AF5E-158B-4B44-AEC2-4E46C32DF459}">
  <dimension ref="A2:H27"/>
  <sheetViews>
    <sheetView topLeftCell="A6" workbookViewId="0">
      <selection activeCell="E8" sqref="E8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31</v>
      </c>
    </row>
    <row r="3" spans="1:8" ht="15.75" thickBot="1">
      <c r="A3" t="s">
        <v>2</v>
      </c>
      <c r="B3" s="41" t="s">
        <v>33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5.4794520547945202</v>
      </c>
      <c r="G6" s="14">
        <f>C7*C6/365</f>
        <v>16.438356164383563</v>
      </c>
    </row>
    <row r="7" spans="1:8">
      <c r="A7" t="s">
        <v>9</v>
      </c>
      <c r="B7" s="14">
        <f>VLOOKUP($B$3,New_tech2[],2,0)</f>
        <v>100000</v>
      </c>
      <c r="C7" s="14">
        <f>VLOOKUP($B$3,New_tech2[],3,0)</f>
        <v>300000</v>
      </c>
      <c r="H7" s="15"/>
    </row>
    <row r="8" spans="1:8">
      <c r="A8" t="s">
        <v>10</v>
      </c>
      <c r="B8">
        <f>VLOOKUP($B$3,New_tech2[],4,0)</f>
        <v>1</v>
      </c>
      <c r="C8">
        <f>VLOOKUP($B$3,New_tech2[],5,0)</f>
        <v>2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67.427097346022791</v>
      </c>
      <c r="G14" s="29">
        <f>(C$7+C8*'Costs C'!C11)/(F13-G$6)</f>
        <v>355.958122312098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0.18473177355074738</v>
      </c>
      <c r="G15" s="45">
        <f>G14/365</f>
        <v>0.97522773236191229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53.200582089739861</v>
      </c>
      <c r="G18" s="29">
        <f>(C$7+C8*'Costs C'!C24)/(F17-G$6)</f>
        <v>293.67109029471646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0.14575501942394484</v>
      </c>
      <c r="G19" s="48">
        <f>G18/365</f>
        <v>0.80457832957456565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59.088206671716449</v>
      </c>
      <c r="G22" s="29">
        <f>(C$7+C8*'Costs C'!C37)/(F21-G$6)</f>
        <v>494.51876899314709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0.16188549773072999</v>
      </c>
      <c r="G23" s="48">
        <f>G22/365</f>
        <v>1.3548459424469783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55.664209338580093</v>
      </c>
      <c r="G26" s="29">
        <f>(C$7+C8*'Costs C'!C49)/(F25-G$6)</f>
        <v>301.01470035293602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0.15250468311939752</v>
      </c>
      <c r="G27" s="48">
        <f>G26/365</f>
        <v>0.82469780918612612</v>
      </c>
    </row>
  </sheetData>
  <dataValidations count="2">
    <dataValidation type="list" allowBlank="1" showInputMessage="1" showErrorMessage="1" sqref="B3" xr:uid="{56F02653-1A6F-4F98-8F81-AE67B213B077}">
      <formula1>new_ddown2</formula1>
    </dataValidation>
    <dataValidation type="decimal" allowBlank="1" showInputMessage="1" showErrorMessage="1" errorTitle="Invalid input" error="Enter a value between 0 and 1" sqref="B9:C10" xr:uid="{F27ECCCA-0BC2-4108-9DFD-0A19B59EC457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3E18-6D0F-4F85-AABB-40940DFC945F}">
  <dimension ref="A2:H27"/>
  <sheetViews>
    <sheetView workbookViewId="0">
      <selection activeCell="D9" sqref="D9:D10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31</v>
      </c>
    </row>
    <row r="3" spans="1:8" ht="15.75" thickBot="1">
      <c r="A3" t="s">
        <v>2</v>
      </c>
      <c r="B3" s="41" t="s">
        <v>34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16.438356164383563</v>
      </c>
      <c r="G6" s="14">
        <f>C7*C6/365</f>
        <v>21.917808219178081</v>
      </c>
    </row>
    <row r="7" spans="1:8">
      <c r="A7" t="s">
        <v>9</v>
      </c>
      <c r="B7" s="14">
        <f>VLOOKUP($B$3,New_tech3[],2,0)</f>
        <v>300000</v>
      </c>
      <c r="C7" s="14">
        <f>VLOOKUP($B$3,New_tech3[],3,0)</f>
        <v>400000</v>
      </c>
      <c r="H7" s="15"/>
    </row>
    <row r="8" spans="1:8">
      <c r="A8" t="s">
        <v>10</v>
      </c>
      <c r="B8">
        <f>VLOOKUP($B$3,New_tech3[],4,0)</f>
        <v>2</v>
      </c>
      <c r="C8">
        <f>VLOOKUP($B$3,New_tech3[],5,0)</f>
        <v>3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175.77991817251956</v>
      </c>
      <c r="G14" s="29">
        <f>(C$7+C8*'Costs C'!C11)/(F13-G$6)</f>
        <v>496.6098593518052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0.48158881691101246</v>
      </c>
      <c r="G15" s="45">
        <f>G14/365</f>
        <v>1.3605749571282335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147.20113396724372</v>
      </c>
      <c r="G18" s="29">
        <f>(C$7+C8*'Costs C'!C24)/(F17-G$6)</f>
        <v>402.77336477138738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0.40329077799244856</v>
      </c>
      <c r="G19" s="48">
        <f>G18/365</f>
        <v>1.1034886706065408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159.02842613112597</v>
      </c>
      <c r="G22" s="29">
        <f>(C$7+C8*'Costs C'!C37)/(F21-G$6)</f>
        <v>705.35387797380588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0.4356943181674684</v>
      </c>
      <c r="G23" s="48">
        <f>G22/365</f>
        <v>1.932476378010427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152.15016542283843</v>
      </c>
      <c r="G26" s="29">
        <f>(C$7+C8*'Costs C'!C49)/(F25-G$6)</f>
        <v>413.83664075532761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0.41684976828174913</v>
      </c>
      <c r="G27" s="48">
        <f>G26/365</f>
        <v>1.1337990157680209</v>
      </c>
    </row>
  </sheetData>
  <dataValidations count="2">
    <dataValidation type="list" allowBlank="1" showInputMessage="1" showErrorMessage="1" sqref="B3" xr:uid="{F55BAB9C-D144-434E-B803-EE0943E57BC1}">
      <formula1>new_ddown3</formula1>
    </dataValidation>
    <dataValidation type="decimal" allowBlank="1" showInputMessage="1" showErrorMessage="1" errorTitle="Invalid input" error="Enter a value between 0 and 1" sqref="B9:C10" xr:uid="{64B58AFD-ED9D-43A7-BB35-1E7FB011F58F}">
      <formula1>0.01</formula1>
      <formula2>1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771F-7444-47AE-AC95-F87A0128DEC5}">
  <dimension ref="A2:H27"/>
  <sheetViews>
    <sheetView topLeftCell="A6" workbookViewId="0">
      <selection activeCell="J14" sqref="J14"/>
    </sheetView>
  </sheetViews>
  <sheetFormatPr defaultRowHeight="15"/>
  <cols>
    <col min="1" max="1" width="57.5703125" bestFit="1" customWidth="1"/>
    <col min="2" max="2" width="22" bestFit="1" customWidth="1"/>
    <col min="3" max="3" width="15.7109375" customWidth="1"/>
    <col min="5" max="5" width="36.28515625" bestFit="1" customWidth="1"/>
    <col min="6" max="6" width="14.140625" bestFit="1" customWidth="1"/>
    <col min="7" max="7" width="13.42578125" bestFit="1" customWidth="1"/>
  </cols>
  <sheetData>
    <row r="2" spans="1:8" ht="15.75" thickBot="1">
      <c r="A2" t="s">
        <v>0</v>
      </c>
      <c r="B2" t="s">
        <v>31</v>
      </c>
    </row>
    <row r="3" spans="1:8" ht="15.75" thickBot="1">
      <c r="A3" t="s">
        <v>2</v>
      </c>
      <c r="B3" s="41" t="s">
        <v>33</v>
      </c>
    </row>
    <row r="4" spans="1:8">
      <c r="B4" s="34" t="s">
        <v>4</v>
      </c>
      <c r="C4" s="34" t="s">
        <v>5</v>
      </c>
    </row>
    <row r="5" spans="1:8">
      <c r="A5" t="s">
        <v>6</v>
      </c>
      <c r="B5" s="24">
        <v>550</v>
      </c>
      <c r="C5" s="24">
        <v>650</v>
      </c>
      <c r="F5" s="34" t="s">
        <v>4</v>
      </c>
      <c r="G5" s="34" t="s">
        <v>5</v>
      </c>
    </row>
    <row r="6" spans="1:8">
      <c r="A6" t="s">
        <v>7</v>
      </c>
      <c r="B6" s="25">
        <v>0.02</v>
      </c>
      <c r="C6" s="25">
        <v>0.02</v>
      </c>
      <c r="E6" t="s">
        <v>8</v>
      </c>
      <c r="F6" s="14">
        <f>B7*B6/365</f>
        <v>21.917808219178081</v>
      </c>
      <c r="G6" s="14">
        <f>C7*C6/365</f>
        <v>24.657534246575342</v>
      </c>
    </row>
    <row r="7" spans="1:8">
      <c r="A7" t="s">
        <v>9</v>
      </c>
      <c r="B7" s="14">
        <f>VLOOKUP($B$3,New_tech4[],2,0)</f>
        <v>400000</v>
      </c>
      <c r="C7" s="14">
        <f>VLOOKUP($B$3,New_tech4[],3,0)</f>
        <v>450000</v>
      </c>
      <c r="H7" s="15"/>
    </row>
    <row r="8" spans="1:8">
      <c r="A8" t="s">
        <v>10</v>
      </c>
      <c r="B8">
        <f>VLOOKUP($B$3,New_tech4[],4,0)</f>
        <v>1</v>
      </c>
      <c r="C8">
        <f>VLOOKUP($B$3,New_tech4[],5,0)</f>
        <v>2</v>
      </c>
    </row>
    <row r="9" spans="1:8">
      <c r="A9" t="s">
        <v>11</v>
      </c>
      <c r="B9" s="26">
        <v>0.6</v>
      </c>
      <c r="C9" s="26">
        <v>0.8</v>
      </c>
      <c r="D9" s="49" t="s">
        <v>12</v>
      </c>
    </row>
    <row r="10" spans="1:8">
      <c r="A10" t="s">
        <v>13</v>
      </c>
      <c r="B10" s="26">
        <v>0.9</v>
      </c>
      <c r="C10" s="26">
        <v>1</v>
      </c>
      <c r="D10" s="49" t="s">
        <v>12</v>
      </c>
    </row>
    <row r="11" spans="1:8" ht="15.75" thickBot="1">
      <c r="B11" s="34" t="s">
        <v>4</v>
      </c>
      <c r="C11" s="34" t="s">
        <v>5</v>
      </c>
      <c r="F11" s="34" t="s">
        <v>4</v>
      </c>
      <c r="G11" s="34" t="s">
        <v>5</v>
      </c>
    </row>
    <row r="12" spans="1:8">
      <c r="A12" s="22" t="s">
        <v>14</v>
      </c>
      <c r="B12" s="2"/>
      <c r="C12" s="2"/>
      <c r="D12" s="2"/>
      <c r="E12" s="2"/>
      <c r="F12" s="2"/>
      <c r="G12" s="3"/>
    </row>
    <row r="13" spans="1:8">
      <c r="A13" s="4" t="s">
        <v>15</v>
      </c>
      <c r="B13" s="27">
        <v>0.18</v>
      </c>
      <c r="C13" s="27">
        <v>0.2</v>
      </c>
      <c r="E13" t="s">
        <v>16</v>
      </c>
      <c r="F13" s="14">
        <f>B15*B$5</f>
        <v>1283.0400000000002</v>
      </c>
      <c r="G13" s="33">
        <f>C15*C$5</f>
        <v>2496.0000000000005</v>
      </c>
    </row>
    <row r="14" spans="1:8">
      <c r="A14" s="4" t="s">
        <v>17</v>
      </c>
      <c r="B14" s="30">
        <f>B13*24</f>
        <v>4.32</v>
      </c>
      <c r="C14" s="30">
        <f>C13*24</f>
        <v>4.8000000000000007</v>
      </c>
      <c r="E14" t="s">
        <v>18</v>
      </c>
      <c r="F14" s="28">
        <f>(B$7+B8*'Costs C'!B11)/(G13-F$6)</f>
        <v>189.13218525361947</v>
      </c>
      <c r="G14" s="29">
        <f>(C$7+C8*'Costs C'!C11)/(F13-G$6)</f>
        <v>477.48372153087394</v>
      </c>
    </row>
    <row r="15" spans="1:8" ht="15.75" thickBot="1">
      <c r="A15" s="4" t="s">
        <v>19</v>
      </c>
      <c r="B15" s="30">
        <f>B14*B$9*B$10</f>
        <v>2.3328000000000002</v>
      </c>
      <c r="C15" s="30">
        <f>C14*C$9*C$10</f>
        <v>3.8400000000000007</v>
      </c>
      <c r="E15" s="43" t="s">
        <v>20</v>
      </c>
      <c r="F15" s="44">
        <f>F14/365</f>
        <v>0.51817037055786153</v>
      </c>
      <c r="G15" s="45">
        <f>G14/365</f>
        <v>1.3081745795366408</v>
      </c>
    </row>
    <row r="16" spans="1:8">
      <c r="A16" s="22" t="s">
        <v>21</v>
      </c>
      <c r="B16" s="32"/>
      <c r="C16" s="32"/>
      <c r="D16" s="2"/>
      <c r="E16" s="2"/>
      <c r="F16" s="2"/>
      <c r="G16" s="3"/>
    </row>
    <row r="17" spans="1:7">
      <c r="A17" s="4" t="s">
        <v>15</v>
      </c>
      <c r="B17" s="27">
        <v>0.18</v>
      </c>
      <c r="C17" s="27">
        <v>0.2</v>
      </c>
      <c r="E17" t="s">
        <v>16</v>
      </c>
      <c r="F17" s="14">
        <f>B19*B$5</f>
        <v>1283.0400000000002</v>
      </c>
      <c r="G17" s="33">
        <f>C19*C$5</f>
        <v>2496.0000000000005</v>
      </c>
    </row>
    <row r="18" spans="1:7">
      <c r="A18" s="4" t="s">
        <v>17</v>
      </c>
      <c r="B18" s="30">
        <f>B17*24</f>
        <v>4.32</v>
      </c>
      <c r="C18" s="30">
        <f>C17*24</f>
        <v>4.8000000000000007</v>
      </c>
      <c r="E18" t="s">
        <v>18</v>
      </c>
      <c r="F18" s="28">
        <f>(B$7+B8*'Costs C'!B24)/(G17-F$6)</f>
        <v>174.81114584387967</v>
      </c>
      <c r="G18" s="29">
        <f>(C$7+C8*'Costs C'!C24)/(F17-G$6)</f>
        <v>414.78985914014044</v>
      </c>
    </row>
    <row r="19" spans="1:7" ht="15.75" thickBot="1">
      <c r="A19" s="6" t="s">
        <v>19</v>
      </c>
      <c r="B19" s="31">
        <f>B18*B$9*B$10</f>
        <v>2.3328000000000002</v>
      </c>
      <c r="C19" s="31">
        <f>C18*C$9*C$10</f>
        <v>3.8400000000000007</v>
      </c>
      <c r="D19" s="7"/>
      <c r="E19" s="46" t="s">
        <v>20</v>
      </c>
      <c r="F19" s="47">
        <f>F18/365</f>
        <v>0.47893464614761555</v>
      </c>
      <c r="G19" s="48">
        <f>G18/365</f>
        <v>1.136410572986686</v>
      </c>
    </row>
    <row r="20" spans="1:7">
      <c r="A20" s="22" t="s">
        <v>22</v>
      </c>
      <c r="B20" s="32"/>
      <c r="C20" s="32"/>
      <c r="D20" s="2"/>
      <c r="E20" s="2"/>
      <c r="F20" s="2"/>
      <c r="G20" s="3"/>
    </row>
    <row r="21" spans="1:7">
      <c r="A21" s="4" t="s">
        <v>15</v>
      </c>
      <c r="B21" s="27">
        <v>0.18</v>
      </c>
      <c r="C21" s="27">
        <v>0.2</v>
      </c>
      <c r="E21" t="s">
        <v>16</v>
      </c>
      <c r="F21" s="14">
        <f>B23*B$5</f>
        <v>1283.0400000000002</v>
      </c>
      <c r="G21" s="33">
        <f>C23*C$5</f>
        <v>2496.0000000000005</v>
      </c>
    </row>
    <row r="22" spans="1:7">
      <c r="A22" s="4" t="s">
        <v>17</v>
      </c>
      <c r="B22" s="30">
        <f>B21*24</f>
        <v>4.32</v>
      </c>
      <c r="C22" s="30">
        <f>C21*24</f>
        <v>4.8000000000000007</v>
      </c>
      <c r="E22" t="s">
        <v>18</v>
      </c>
      <c r="F22" s="28">
        <f>(B$7+B8*'Costs C'!B37)/(G21-F$6)</f>
        <v>180.73788912213976</v>
      </c>
      <c r="G22" s="29">
        <f>(C$7+C8*'Costs C'!C37)/(F21-G$6)</f>
        <v>616.94938291234109</v>
      </c>
    </row>
    <row r="23" spans="1:7" ht="15.75" thickBot="1">
      <c r="A23" s="6" t="s">
        <v>19</v>
      </c>
      <c r="B23" s="31">
        <f>B22*B$9*B$10</f>
        <v>2.3328000000000002</v>
      </c>
      <c r="C23" s="31">
        <f>C22*C$9*C$10</f>
        <v>3.8400000000000007</v>
      </c>
      <c r="D23" s="7"/>
      <c r="E23" s="46" t="s">
        <v>20</v>
      </c>
      <c r="F23" s="47">
        <f>F22/365</f>
        <v>0.4951722989647665</v>
      </c>
      <c r="G23" s="48">
        <f>G22/365</f>
        <v>1.6902722819516194</v>
      </c>
    </row>
    <row r="24" spans="1:7">
      <c r="A24" s="21" t="s">
        <v>23</v>
      </c>
      <c r="B24" s="30"/>
      <c r="C24" s="30"/>
      <c r="G24" s="5"/>
    </row>
    <row r="25" spans="1:7">
      <c r="A25" s="4" t="s">
        <v>15</v>
      </c>
      <c r="B25" s="27">
        <v>0.18</v>
      </c>
      <c r="C25" s="27">
        <v>0.2</v>
      </c>
      <c r="E25" t="s">
        <v>16</v>
      </c>
      <c r="F25" s="14">
        <f>B27*B$5</f>
        <v>1283.0400000000002</v>
      </c>
      <c r="G25" s="33">
        <f>C27*C$5</f>
        <v>2496.0000000000005</v>
      </c>
    </row>
    <row r="26" spans="1:7">
      <c r="A26" s="4" t="s">
        <v>17</v>
      </c>
      <c r="B26" s="30">
        <f>B25*24</f>
        <v>4.32</v>
      </c>
      <c r="C26" s="30">
        <f>C25*24</f>
        <v>4.8000000000000007</v>
      </c>
      <c r="E26" t="s">
        <v>18</v>
      </c>
      <c r="F26" s="28">
        <f>(B$7+B8*'Costs C'!B49)/(G25-F$6)</f>
        <v>177.29114198390195</v>
      </c>
      <c r="G26" s="29">
        <f>(C$7+C8*'Costs C'!C49)/(F25-G$6)</f>
        <v>422.18143429679174</v>
      </c>
    </row>
    <row r="27" spans="1:7" ht="15.75" thickBot="1">
      <c r="A27" s="6" t="s">
        <v>19</v>
      </c>
      <c r="B27" s="31">
        <f>B26*B$9*B$10</f>
        <v>2.3328000000000002</v>
      </c>
      <c r="C27" s="31">
        <f>C26*C$9*C$10</f>
        <v>3.8400000000000007</v>
      </c>
      <c r="D27" s="7"/>
      <c r="E27" s="46" t="s">
        <v>20</v>
      </c>
      <c r="F27" s="47">
        <f>F26/365</f>
        <v>0.48572915612027934</v>
      </c>
      <c r="G27" s="48">
        <f>G26/365</f>
        <v>1.1566614638268267</v>
      </c>
    </row>
  </sheetData>
  <dataValidations count="2">
    <dataValidation type="decimal" allowBlank="1" showInputMessage="1" showErrorMessage="1" errorTitle="Invalid input" error="Enter a value between 0 and 1" sqref="B9:C10" xr:uid="{3FE6F3BD-19FD-488A-B91D-38B510FED350}">
      <formula1>0.01</formula1>
      <formula2>1</formula2>
    </dataValidation>
    <dataValidation type="list" allowBlank="1" showInputMessage="1" showErrorMessage="1" sqref="B3" xr:uid="{FEC66A7C-31C7-4177-A92C-A683DED037EA}">
      <formula1>new_ddown4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243-D5AB-4AB8-9B47-EFA3D5A96CBB}">
  <dimension ref="A1:K38"/>
  <sheetViews>
    <sheetView tabSelected="1" workbookViewId="0">
      <selection activeCell="G9" sqref="G9"/>
    </sheetView>
  </sheetViews>
  <sheetFormatPr defaultRowHeight="15"/>
  <cols>
    <col min="1" max="1" width="28.28515625" bestFit="1" customWidth="1"/>
    <col min="2" max="3" width="14" bestFit="1" customWidth="1"/>
    <col min="4" max="4" width="12.28515625" bestFit="1" customWidth="1"/>
    <col min="5" max="5" width="12.5703125" bestFit="1" customWidth="1"/>
    <col min="6" max="6" width="12.42578125" customWidth="1"/>
    <col min="7" max="7" width="21.140625" bestFit="1" customWidth="1"/>
    <col min="8" max="8" width="20.42578125" bestFit="1" customWidth="1"/>
    <col min="9" max="9" width="21.42578125" bestFit="1" customWidth="1"/>
    <col min="10" max="10" width="22.28515625" bestFit="1" customWidth="1"/>
    <col min="11" max="11" width="12.42578125" customWidth="1"/>
    <col min="12" max="12" width="8.85546875" bestFit="1" customWidth="1"/>
    <col min="13" max="13" width="9.42578125" bestFit="1" customWidth="1"/>
    <col min="14" max="15" width="12.28515625" bestFit="1" customWidth="1"/>
  </cols>
  <sheetData>
    <row r="1" spans="1:11">
      <c r="A1" t="s">
        <v>35</v>
      </c>
      <c r="B1" t="s">
        <v>36</v>
      </c>
      <c r="C1" t="s">
        <v>37</v>
      </c>
      <c r="D1" t="s">
        <v>38</v>
      </c>
      <c r="E1" t="s">
        <v>39</v>
      </c>
      <c r="G1" t="s">
        <v>40</v>
      </c>
      <c r="H1" t="s">
        <v>36</v>
      </c>
      <c r="I1" t="s">
        <v>37</v>
      </c>
      <c r="J1" t="s">
        <v>38</v>
      </c>
      <c r="K1" t="s">
        <v>39</v>
      </c>
    </row>
    <row r="2" spans="1:11">
      <c r="A2" t="s">
        <v>41</v>
      </c>
      <c r="B2" s="14">
        <v>455000</v>
      </c>
      <c r="C2" s="14">
        <v>455000</v>
      </c>
      <c r="D2">
        <v>0</v>
      </c>
      <c r="E2">
        <v>2</v>
      </c>
      <c r="G2" t="s">
        <v>42</v>
      </c>
      <c r="H2" s="14">
        <v>300000</v>
      </c>
      <c r="I2" s="14">
        <v>500000</v>
      </c>
      <c r="J2">
        <v>1</v>
      </c>
      <c r="K2">
        <v>3</v>
      </c>
    </row>
    <row r="3" spans="1:11">
      <c r="A3" t="s">
        <v>43</v>
      </c>
      <c r="B3" s="14">
        <v>1128750</v>
      </c>
      <c r="C3" s="14">
        <v>1128750</v>
      </c>
      <c r="D3">
        <v>0</v>
      </c>
      <c r="E3">
        <v>2</v>
      </c>
      <c r="G3" t="s">
        <v>44</v>
      </c>
      <c r="H3" s="14">
        <v>200000</v>
      </c>
      <c r="I3" s="14">
        <v>400000</v>
      </c>
      <c r="J3">
        <v>1</v>
      </c>
      <c r="K3">
        <v>2</v>
      </c>
    </row>
    <row r="4" spans="1:11">
      <c r="A4" t="s">
        <v>3</v>
      </c>
      <c r="B4" s="14">
        <v>1755000</v>
      </c>
      <c r="C4" s="14">
        <v>1755000</v>
      </c>
      <c r="D4">
        <v>0</v>
      </c>
      <c r="E4">
        <v>2</v>
      </c>
      <c r="G4" t="s">
        <v>45</v>
      </c>
      <c r="H4" s="14">
        <v>150000</v>
      </c>
      <c r="I4" s="14">
        <v>200000</v>
      </c>
      <c r="J4">
        <v>1</v>
      </c>
      <c r="K4">
        <v>1</v>
      </c>
    </row>
    <row r="5" spans="1:11">
      <c r="A5" t="s">
        <v>46</v>
      </c>
      <c r="B5" s="14">
        <v>2590000</v>
      </c>
      <c r="C5" s="14">
        <v>2590000</v>
      </c>
      <c r="D5">
        <v>0</v>
      </c>
      <c r="E5">
        <v>2</v>
      </c>
      <c r="G5" t="s">
        <v>32</v>
      </c>
      <c r="H5" s="14">
        <v>600000</v>
      </c>
      <c r="I5" s="14">
        <v>650000</v>
      </c>
      <c r="J5">
        <v>2</v>
      </c>
      <c r="K5">
        <v>4</v>
      </c>
    </row>
    <row r="9" spans="1:11">
      <c r="A9" t="s">
        <v>47</v>
      </c>
      <c r="B9" t="s">
        <v>36</v>
      </c>
      <c r="C9" t="s">
        <v>37</v>
      </c>
      <c r="D9" t="s">
        <v>38</v>
      </c>
      <c r="E9" t="s">
        <v>39</v>
      </c>
    </row>
    <row r="10" spans="1:11">
      <c r="A10" t="s">
        <v>48</v>
      </c>
      <c r="B10" s="14">
        <v>170000</v>
      </c>
      <c r="C10" s="14">
        <v>300000</v>
      </c>
      <c r="D10">
        <v>2</v>
      </c>
      <c r="E10">
        <v>7</v>
      </c>
    </row>
    <row r="11" spans="1:11">
      <c r="A11" t="s">
        <v>49</v>
      </c>
      <c r="B11" s="14">
        <v>340000</v>
      </c>
      <c r="C11" s="14">
        <v>600000</v>
      </c>
      <c r="D11">
        <v>2</v>
      </c>
      <c r="E11">
        <v>7</v>
      </c>
    </row>
    <row r="12" spans="1:11">
      <c r="A12" t="s">
        <v>25</v>
      </c>
      <c r="B12" s="14">
        <v>340000</v>
      </c>
      <c r="C12" s="14">
        <v>600000</v>
      </c>
      <c r="D12">
        <v>2</v>
      </c>
      <c r="E12">
        <v>7</v>
      </c>
    </row>
    <row r="13" spans="1:11">
      <c r="G13" t="s">
        <v>50</v>
      </c>
      <c r="H13" t="s">
        <v>36</v>
      </c>
      <c r="I13" t="s">
        <v>37</v>
      </c>
      <c r="J13" t="s">
        <v>38</v>
      </c>
      <c r="K13" t="s">
        <v>39</v>
      </c>
    </row>
    <row r="14" spans="1:11">
      <c r="G14" t="s">
        <v>33</v>
      </c>
      <c r="H14" s="42">
        <v>100000</v>
      </c>
      <c r="I14" s="42">
        <v>300000</v>
      </c>
      <c r="J14">
        <v>1</v>
      </c>
      <c r="K14">
        <v>2</v>
      </c>
    </row>
    <row r="15" spans="1:11">
      <c r="G15" t="s">
        <v>34</v>
      </c>
      <c r="H15" s="42">
        <v>300000</v>
      </c>
      <c r="I15" s="42">
        <v>400000</v>
      </c>
      <c r="J15">
        <v>2</v>
      </c>
      <c r="K15">
        <v>3</v>
      </c>
    </row>
    <row r="16" spans="1:11">
      <c r="G16" t="s">
        <v>51</v>
      </c>
      <c r="H16" s="42">
        <v>400000</v>
      </c>
      <c r="I16" s="42">
        <v>500000</v>
      </c>
      <c r="J16">
        <v>3</v>
      </c>
      <c r="K16">
        <v>4</v>
      </c>
    </row>
    <row r="17" spans="1:11">
      <c r="A17" t="s">
        <v>52</v>
      </c>
      <c r="B17" t="s">
        <v>36</v>
      </c>
      <c r="C17" t="s">
        <v>37</v>
      </c>
      <c r="D17" t="s">
        <v>38</v>
      </c>
      <c r="E17" t="s">
        <v>39</v>
      </c>
    </row>
    <row r="18" spans="1:11">
      <c r="A18" t="s">
        <v>53</v>
      </c>
      <c r="B18" s="14">
        <v>700000</v>
      </c>
      <c r="C18" s="14">
        <v>950000</v>
      </c>
      <c r="D18">
        <v>2</v>
      </c>
      <c r="E18">
        <v>7</v>
      </c>
    </row>
    <row r="19" spans="1:11">
      <c r="A19" t="s">
        <v>27</v>
      </c>
      <c r="B19" s="14">
        <v>2800000</v>
      </c>
      <c r="C19" s="14">
        <v>3600000</v>
      </c>
      <c r="D19">
        <v>2</v>
      </c>
      <c r="E19">
        <v>7</v>
      </c>
    </row>
    <row r="22" spans="1:11">
      <c r="A22" t="s">
        <v>54</v>
      </c>
      <c r="B22" t="s">
        <v>38</v>
      </c>
      <c r="C22" t="s">
        <v>39</v>
      </c>
    </row>
    <row r="23" spans="1:11">
      <c r="A23" t="s">
        <v>29</v>
      </c>
      <c r="B23">
        <v>0</v>
      </c>
      <c r="C23">
        <v>3</v>
      </c>
    </row>
    <row r="24" spans="1:11">
      <c r="A24" t="s">
        <v>55</v>
      </c>
      <c r="B24">
        <v>0</v>
      </c>
      <c r="C24">
        <v>3</v>
      </c>
      <c r="G24" t="s">
        <v>56</v>
      </c>
      <c r="H24" t="s">
        <v>36</v>
      </c>
      <c r="I24" t="s">
        <v>37</v>
      </c>
      <c r="J24" t="s">
        <v>38</v>
      </c>
      <c r="K24" t="s">
        <v>39</v>
      </c>
    </row>
    <row r="25" spans="1:11">
      <c r="G25" t="s">
        <v>33</v>
      </c>
      <c r="H25" s="42">
        <v>300000</v>
      </c>
      <c r="I25" s="42">
        <v>350000</v>
      </c>
      <c r="J25">
        <v>1</v>
      </c>
      <c r="K25">
        <v>2</v>
      </c>
    </row>
    <row r="26" spans="1:11">
      <c r="A26" t="s">
        <v>54</v>
      </c>
      <c r="B26" t="s">
        <v>57</v>
      </c>
      <c r="C26" t="s">
        <v>36</v>
      </c>
      <c r="D26" t="s">
        <v>37</v>
      </c>
      <c r="G26" t="s">
        <v>34</v>
      </c>
      <c r="H26" s="42">
        <v>300000</v>
      </c>
      <c r="I26" s="42">
        <v>400000</v>
      </c>
      <c r="J26">
        <v>2</v>
      </c>
      <c r="K26">
        <v>3</v>
      </c>
    </row>
    <row r="27" spans="1:11">
      <c r="A27" t="s">
        <v>29</v>
      </c>
      <c r="B27" s="35" t="s">
        <v>58</v>
      </c>
      <c r="C27" s="39">
        <v>123350</v>
      </c>
      <c r="D27" s="39">
        <v>146300</v>
      </c>
      <c r="G27" t="s">
        <v>51</v>
      </c>
      <c r="H27" s="42">
        <v>400000</v>
      </c>
      <c r="I27" s="42">
        <v>500000</v>
      </c>
      <c r="J27">
        <v>3</v>
      </c>
      <c r="K27">
        <v>4</v>
      </c>
    </row>
    <row r="28" spans="1:11">
      <c r="A28" t="s">
        <v>29</v>
      </c>
      <c r="B28" s="36" t="s">
        <v>59</v>
      </c>
      <c r="C28" s="40">
        <v>54180</v>
      </c>
      <c r="D28" s="40">
        <v>64260</v>
      </c>
    </row>
    <row r="29" spans="1:11">
      <c r="A29" t="s">
        <v>29</v>
      </c>
      <c r="B29" s="35" t="s">
        <v>60</v>
      </c>
      <c r="C29" s="39">
        <v>12000</v>
      </c>
      <c r="D29" s="39">
        <v>14230</v>
      </c>
    </row>
    <row r="30" spans="1:11">
      <c r="A30" t="s">
        <v>29</v>
      </c>
      <c r="B30" s="36" t="s">
        <v>61</v>
      </c>
      <c r="C30" s="40">
        <v>100520</v>
      </c>
      <c r="D30" s="40">
        <v>119220</v>
      </c>
    </row>
    <row r="31" spans="1:11">
      <c r="A31" t="s">
        <v>55</v>
      </c>
      <c r="B31" s="35" t="s">
        <v>58</v>
      </c>
      <c r="C31" s="39">
        <v>633980</v>
      </c>
      <c r="D31" s="39">
        <v>760770</v>
      </c>
    </row>
    <row r="32" spans="1:11">
      <c r="A32" t="s">
        <v>55</v>
      </c>
      <c r="B32" s="36" t="s">
        <v>59</v>
      </c>
      <c r="C32" s="40">
        <v>278450</v>
      </c>
      <c r="D32" s="40">
        <v>334140</v>
      </c>
    </row>
    <row r="33" spans="1:11">
      <c r="A33" t="s">
        <v>55</v>
      </c>
      <c r="B33" s="35" t="s">
        <v>60</v>
      </c>
      <c r="C33" s="39">
        <v>61670</v>
      </c>
      <c r="D33" s="39">
        <v>74000</v>
      </c>
    </row>
    <row r="34" spans="1:11">
      <c r="A34" t="s">
        <v>55</v>
      </c>
      <c r="B34" s="36" t="s">
        <v>61</v>
      </c>
      <c r="C34" s="40">
        <v>516600</v>
      </c>
      <c r="D34" s="40">
        <v>619930</v>
      </c>
    </row>
    <row r="35" spans="1:11">
      <c r="G35" t="s">
        <v>62</v>
      </c>
      <c r="H35" t="s">
        <v>36</v>
      </c>
      <c r="I35" t="s">
        <v>37</v>
      </c>
      <c r="J35" t="s">
        <v>38</v>
      </c>
      <c r="K35" t="s">
        <v>39</v>
      </c>
    </row>
    <row r="36" spans="1:11">
      <c r="G36" t="s">
        <v>33</v>
      </c>
      <c r="H36" s="42">
        <v>400000</v>
      </c>
      <c r="I36" s="42">
        <v>450000</v>
      </c>
      <c r="J36">
        <v>1</v>
      </c>
      <c r="K36">
        <v>2</v>
      </c>
    </row>
    <row r="37" spans="1:11">
      <c r="G37" t="s">
        <v>34</v>
      </c>
      <c r="H37" s="42">
        <v>300000</v>
      </c>
      <c r="I37" s="42">
        <v>400000</v>
      </c>
      <c r="J37">
        <v>2</v>
      </c>
      <c r="K37">
        <v>3</v>
      </c>
    </row>
    <row r="38" spans="1:11">
      <c r="G38" t="s">
        <v>51</v>
      </c>
      <c r="H38" s="42">
        <v>400000</v>
      </c>
      <c r="I38" s="42">
        <v>500000</v>
      </c>
      <c r="J38">
        <v>3</v>
      </c>
      <c r="K38">
        <v>4</v>
      </c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A8114CD240BBCC41A512909F77FBA42A" ma:contentTypeVersion="16" ma:contentTypeDescription="Δημιουργία νέου εγγράφου" ma:contentTypeScope="" ma:versionID="0c21e6e08da818ae1bd95e6139669675">
  <xsd:schema xmlns:xsd="http://www.w3.org/2001/XMLSchema" xmlns:xs="http://www.w3.org/2001/XMLSchema" xmlns:p="http://schemas.microsoft.com/office/2006/metadata/properties" xmlns:ns2="f43dd105-8ad5-4ba5-91f8-75a8e576909f" xmlns:ns3="306a11fa-9cd4-4c65-8b30-d90398f117ca" targetNamespace="http://schemas.microsoft.com/office/2006/metadata/properties" ma:root="true" ma:fieldsID="efeddab660de7331525e74318ff27590" ns2:_="" ns3:_="">
    <xsd:import namespace="f43dd105-8ad5-4ba5-91f8-75a8e576909f"/>
    <xsd:import namespace="306a11fa-9cd4-4c65-8b30-d90398f117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dd105-8ad5-4ba5-91f8-75a8e5769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9445c674-88f0-42df-8641-cd81da943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11fa-9cd4-4c65-8b30-d90398f117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edd13c-8275-40da-af79-1ca32972058d}" ma:internalName="TaxCatchAll" ma:showField="CatchAllData" ma:web="306a11fa-9cd4-4c65-8b30-d90398f117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I I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b P b h q w A A A D 3 A A A A E g A A A E N v b m Z p Z y 9 Q Y W N r Y W d l L n h t b I S P s Q 6 C M B i E d x P f g X S n L T U O k p 8 y u I I x M T G u D T T Q W F p D i / B u D j 6 S r y B E U T f H u / u S u 3 v c 7 p A O j Q 6 u s n X K m g R F m K L A e W F K o a 2 R C T I W p X y 5 g L 0 o z q K S w U g b F w + u T F D t / S U m p O 9 7 3 K + w b S v C K I 3 I K c 8 O R S 0 b g T 6 w + g + H y k y 1 h U Q c j q 8 1 n O G I b T B b M 0 y B z C b k y n w B N g 6 e 0 h 8 T t p 3 2 X S u 5 0 e E u A z J L I O 8 P / A k A A P / / A w B Q S w M E F A A C A A g A A A A h A B N I d L u S A g A A n x I A A B M A A A B G b 3 J t d W x h c y 9 T Z W N 0 a W 9 u M S 5 t 7 F Z L j 9 o w E L 4 j 7 X + w z M V I B p E X Z V t x Q K x W 5 V B p t a T l A F R y w T y K 8 1 D s d F s h / n v t J L w x C e K a R J G l z + P v m x l P 7 O F 0 K l a B D w b p a H y p V P i S R H Q G q t A l v x h t N t s A v Z E F B V Y N g g 5 g V D x V g H w G Q R x N q U T e Z v N G Y s r R 6 4 r R R i / w B f U F R 7 D 3 e f y d 0 4 i P f 8 d s R f 0 l j T z i 8 / F L M I 0 9 Z T H u S 8 u I c k 7 k C E I S K t t v 3 V 4 P E C b A P K a M j 7 l t O K 1 m v W l a 9 a Z h W X b d b o S z O a x h M O p 7 I a O K i C j X O 9 B o W H B S w 6 l 7 e + c 7 m a e b U X / W 2 c c E J 9 v R C x F k k p l X Y W 9 J / I W M 2 / 0 X U h V o Y t l w I + n x P I i 8 X s B i z 1 e T H O 1 I 8 G Y D U 9 y A G A g 5 B w T 9 K 7 Y Y 7 H B T g 1 s a 3 N b g j g Z v n e D b 2 j 6 a d + o F f 2 Q 0 q R k / B J R O Z D A 6 C x s f e K 9 w d Z n c L Z / I r X o P P o 4 o 9 7 i C 0 a U 2 N u R r W s e E I S N T a f G D s J g e + 5 b g C Y q 0 u h j + 3 J C t H C D O F k S 7 l a 7 M A j 7 k P j c G 4 1 Y Q J z 5 i U 8 V g 5 h G a + V k 5 9 w D b i t n I Y 7 b u Z Z a l 1 1 b M z T x m + 1 5 m W b y G S o f x n E f t 3 E s t 6 9 9 w F H V b V y 3 G n e X i J P V C 7 6 + X Y 1 H z h u i p c 0 p s 8 Z i Y V V D M T P 8 E P H t M z i 4 o Z y V y y 8 f E n I J i d u G / 3 N K L t Q q K O Y V 3 7 Y b Y p 4 J i 8 s T 2 Y 8 Y w f J X X W 3 J 2 X 2 o m h v h w t 1 w 5 x 9 w g P D u F B + t V i C 6 9 w k c n y 1 s U e I G Q c 1 8 p m c m 7 9 r A 4 m 8 l w d E V H 3 r e Z U Z e x w Z Q w E v G O i G I 6 0 W W k r c 3 I h R 8 Y N t J P k / 0 h Z T J X Q R W x e U 0 Q f w 3 Q U L g 1 / W Y 8 F 9 y M d q 6 y q 9 Q y 5 Q + y p g C 5 Y q i U n y o r X y d + s 4 k C y C w b q b K R K h u p s p E q G 6 m y k S o b q b K R K h s p X S P 1 H w A A / / 8 D A F B L A Q I t A B Q A B g A I A A A A I Q A q 3 a p A 0 g A A A D c B A A A T A A A A A A A A A A A A A A A A A A A A A A B b Q 2 9 u d G V u d F 9 U e X B l c 1 0 u e G 1 s U E s B A i 0 A F A A C A A g A A A A h A A G z 2 4 a s A A A A 9 w A A A B I A A A A A A A A A A A A A A A A A C w M A A E N v b m Z p Z y 9 Q Y W N r Y W d l L n h t b F B L A Q I t A B Q A A g A I A A A A I Q A T S H S 7 k g I A A J 8 S A A A T A A A A A A A A A A A A A A A A A O c D A A B G b 3 J t d W x h c y 9 T Z W N 0 a W 9 u M S 5 t U E s F B g A A A A A D A A M A w g A A A K o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5 L g A A A A A A A J c u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g t M D F U M T A 6 M z M 6 N T Q u N D g 0 N D M z N V o i L z 4 8 R W 5 0 c n k g V H l w Z T 0 i R m l s b E N v b H V t b l R 5 c G V z I i B W Y W x 1 Z T 0 i c 0 J n W U d C Z 1 k 9 I i 8 + P E V u d H J 5 I F R 5 c G U 9 I k Z p b G x D b 2 x 1 b W 5 O Y W 1 l c y I g V m F s d W U 9 I n N b J n F 1 b 3 Q 7 R n V l b C B 0 e X B l J n F 1 b 3 Q 7 L C Z x d W 9 0 O 1 d l b G w g d G 9 c b n R h b m s g K F d 0 V C k m c X V v d D s s J n F 1 b 3 Q 7 V G F u a y B 0 b 1 x u d 2 F r Z S A o V H R X K S Z x d W 9 0 O y w m c X V v d D t V c H B l c l x u Y m 9 1 b m Q m c X V v d D s s J n F 1 b 3 Q 7 T G 9 3 Z X J c b m J v d W 5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2 U w N j E 3 Z i 0 3 N T c 0 L T R k N 2 I t Y m V j Y S 1 h M 2 M 1 Z m N k Y z Q 5 O G I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M y k v Q X V 0 b 1 J l b W 9 2 Z W R D b 2 x 1 b W 5 z M S 5 7 R n V l b C B 0 e X B l L D B 9 J n F 1 b 3 Q 7 L C Z x d W 9 0 O 1 N l Y 3 R p b 2 4 x L 1 R h Y m x l M D A 4 I C h Q Y W d l I D M p L 0 F 1 d G 9 S Z W 1 v d m V k Q 2 9 s d W 1 u c z E u e 1 d l b G w g d G 9 c b n R h b m s g K F d 0 V C k s M X 0 m c X V v d D s s J n F 1 b 3 Q 7 U 2 V j d G l v b j E v V G F i b G U w M D g g K F B h Z 2 U g M y k v Q X V 0 b 1 J l b W 9 2 Z W R D b 2 x 1 b W 5 z M S 5 7 V G F u a y B 0 b 1 x u d 2 F r Z S A o V H R X K S w y f S Z x d W 9 0 O y w m c X V v d D t T Z W N 0 a W 9 u M S 9 U Y W J s Z T A w O C A o U G F n Z S A z K S 9 B d X R v U m V t b 3 Z l Z E N v b H V t b n M x L n t V c H B l c l x u Y m 9 1 b m Q s M 3 0 m c X V v d D s s J n F 1 b 3 Q 7 U 2 V j d G l v b j E v V G F i b G U w M D g g K F B h Z 2 U g M y k v Q X V 0 b 1 J l b W 9 2 Z W R D b 2 x 1 b W 5 z M S 5 7 T G 9 3 Z X J c b m J v d W 5 k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4 I C h Q Y W d l I D M p L 0 F 1 d G 9 S Z W 1 v d m V k Q 2 9 s d W 1 u c z E u e 0 Z 1 Z W w g d H l w Z S w w f S Z x d W 9 0 O y w m c X V v d D t T Z W N 0 a W 9 u M S 9 U Y W J s Z T A w O C A o U G F n Z S A z K S 9 B d X R v U m V t b 3 Z l Z E N v b H V t b n M x L n t X Z W x s I H R v X G 5 0 Y W 5 r I C h X d F Q p L D F 9 J n F 1 b 3 Q 7 L C Z x d W 9 0 O 1 N l Y 3 R p b 2 4 x L 1 R h Y m x l M D A 4 I C h Q Y W d l I D M p L 0 F 1 d G 9 S Z W 1 v d m V k Q 2 9 s d W 1 u c z E u e 1 R h b m s g d G 9 c b n d h a 2 U g K F R 0 V y k s M n 0 m c X V v d D s s J n F 1 b 3 Q 7 U 2 V j d G l v b j E v V G F i b G U w M D g g K F B h Z 2 U g M y k v Q X V 0 b 1 J l b W 9 2 Z W R D b 2 x 1 b W 5 z M S 5 7 V X B w Z X J c b m J v d W 5 k L D N 9 J n F 1 b 3 Q 7 L C Z x d W 9 0 O 1 N l Y 3 R p b 2 4 x L 1 R h Y m x l M D A 4 I C h Q Y W d l I D M p L 0 F 1 d G 9 S Z W 1 v d m V k Q 2 9 s d W 1 u c z E u e 0 x v d 2 V y X G 5 i b 3 V u Z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M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C 0 w M V Q x M D o z M z o 1 N C 4 0 O D Q 0 M z M 1 W i I v P j x F b n R y e S B U e X B l P S J G a W x s Q 2 9 s d W 1 u V H l w Z X M i I F Z h b H V l P S J z Q m d Z R 0 J n W T 0 i L z 4 8 R W 5 0 c n k g V H l w Z T 0 i R m l s b E N v b H V t b k 5 h b W V z I i B W Y W x 1 Z T 0 i c 1 s m c X V v d D t G d W V s I H R 5 c G U m c X V v d D s s J n F 1 b 3 Q 7 V 2 V s b C B 0 b 1 x u d G F u a y A o V 3 R U K S Z x d W 9 0 O y w m c X V v d D t U Y W 5 r I H R v X G 5 3 Y W t l I C h U d F c p J n F 1 b 3 Q 7 L C Z x d W 9 0 O 1 V w c G V y X G 5 i b 3 V u Z C Z x d W 9 0 O y w m c X V v d D t M b 3 d l c l x u Y m 9 1 b m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5 Z G V l Z G N k L T F i M 2 Q t N G U y Y y 0 5 Z m V l L W Q 0 M D d l Y W J l M W R i Y i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z K S 9 B d X R v U m V t b 3 Z l Z E N v b H V t b n M x L n t G d W V s I H R 5 c G U s M H 0 m c X V v d D s s J n F 1 b 3 Q 7 U 2 V j d G l v b j E v V G F i b G U w M D g g K F B h Z 2 U g M y k v Q X V 0 b 1 J l b W 9 2 Z W R D b 2 x 1 b W 5 z M S 5 7 V 2 V s b C B 0 b 1 x u d G F u a y A o V 3 R U K S w x f S Z x d W 9 0 O y w m c X V v d D t T Z W N 0 a W 9 u M S 9 U Y W J s Z T A w O C A o U G F n Z S A z K S 9 B d X R v U m V t b 3 Z l Z E N v b H V t b n M x L n t U Y W 5 r I H R v X G 5 3 Y W t l I C h U d F c p L D J 9 J n F 1 b 3 Q 7 L C Z x d W 9 0 O 1 N l Y 3 R p b 2 4 x L 1 R h Y m x l M D A 4 I C h Q Y W d l I D M p L 0 F 1 d G 9 S Z W 1 v d m V k Q 2 9 s d W 1 u c z E u e 1 V w c G V y X G 5 i b 3 V u Z C w z f S Z x d W 9 0 O y w m c X V v d D t T Z W N 0 a W 9 u M S 9 U Y W J s Z T A w O C A o U G F n Z S A z K S 9 B d X R v U m V t b 3 Z l Z E N v b H V t b n M x L n t M b 3 d l c l x u Y m 9 1 b m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g g K F B h Z 2 U g M y k v Q X V 0 b 1 J l b W 9 2 Z W R D b 2 x 1 b W 5 z M S 5 7 R n V l b C B 0 e X B l L D B 9 J n F 1 b 3 Q 7 L C Z x d W 9 0 O 1 N l Y 3 R p b 2 4 x L 1 R h Y m x l M D A 4 I C h Q Y W d l I D M p L 0 F 1 d G 9 S Z W 1 v d m V k Q 2 9 s d W 1 u c z E u e 1 d l b G w g d G 9 c b n R h b m s g K F d 0 V C k s M X 0 m c X V v d D s s J n F 1 b 3 Q 7 U 2 V j d G l v b j E v V G F i b G U w M D g g K F B h Z 2 U g M y k v Q X V 0 b 1 J l b W 9 2 Z W R D b 2 x 1 b W 5 z M S 5 7 V G F u a y B 0 b 1 x u d 2 F r Z S A o V H R X K S w y f S Z x d W 9 0 O y w m c X V v d D t T Z W N 0 a W 9 u M S 9 U Y W J s Z T A w O C A o U G F n Z S A z K S 9 B d X R v U m V t b 3 Z l Z E N v b H V t b n M x L n t V c H B l c l x u Y m 9 1 b m Q s M 3 0 m c X V v d D s s J n F 1 b 3 Q 7 U 2 V j d G l v b j E v V G F i b G U w M D g g K F B h Z 2 U g M y k v Q X V 0 b 1 J l b W 9 2 Z W R D b 2 x 1 b W 5 z M S 5 7 T G 9 3 Z X J c b m J v d W 5 k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b W 9 2 Z W Q l M j B B b H R l c m 5 h d G U l M j B S b 3 d z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c G x h Y 2 V k J T I w V m F s d W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v U m V w b G F j Z W Q l M j B W Y W x 1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9 S Z X B s Y W N l Z C U y M F Z h b H V l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c G x h Y 2 V k J T I w V m F s d W U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v U m V w b G F j Z W Q l M j B W Y W x 1 Z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9 S Z X B s Y W N l Z C U y M F Z h b H V l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c G x h Y 2 V k J T I w V m F s d W U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v U m V t b 3 Z l Z C U y M F R v c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9 S Z X B s Y W N l Z C U y M F Z h b H V l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L 1 J l c G x h Y 2 V k J T I w V m F s d W U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J T I w K D I p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t b 3 Z l Z C U y M E F s d G V y b m F 0 Z S U y M F J v d 3 M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w b G F j Z W Q l M j B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U y M C g y K S 9 S Z X B s Y W N l Z C U y M F Z h b H V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J T I w K D I p L 1 J l c G x h Y 2 V k J T I w V m F s d W U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w b G F j Z W Q l M j B W Y W x 1 Z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U y M C g y K S 9 S Z X B s Y W N l Z C U y M F Z h b H V l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J T I w K D I p L 1 J l c G x h Y 2 V k J T I w V m F s d W U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w b G F j Z W Q l M j B W Y W x 1 Z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z K S U y M C g y K S 9 S Z W 1 v d m V k J T I w V G 9 w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M p J T I w K D I p L 1 J l c G x h Y 2 V k J T I w V m F s d W U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y k l M j A o M i k v U m V w b G F j Z W Q l M j B W Y W x 1 Z T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c O H i + D a T t N u H 5 W m + w 7 C V 8 A A A A A A g A A A A A A A 2 Y A A M A A A A A Q A A A A j t l L 5 6 u M K X K q W V e 9 e p A S B g A A A A A E g A A A o A A A A B A A A A D r z S g U M w W I w 6 g b W K m e l F 9 R U A A A A P L C X W y x C G r m b 1 H x o n 8 U d w W M g g e r z O 0 / x o 1 P U / a w b S 6 H Q Q i m w O A p a T 7 c k a v l f O q z + R 0 O p G Q m k d h e F f m D b a R l g C I 5 B 9 n 8 E a a f T p m m 9 2 6 2 C J J A F A A A A M E / e y O t 1 p 2 i F Q u Z s 7 + Q K p A s d m x P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a11fa-9cd4-4c65-8b30-d90398f117ca" xsi:nil="true"/>
    <lcf76f155ced4ddcb4097134ff3c332f xmlns="f43dd105-8ad5-4ba5-91f8-75a8e576909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71B92-CF77-4986-A174-5F75EDB78A42}"/>
</file>

<file path=customXml/itemProps2.xml><?xml version="1.0" encoding="utf-8"?>
<ds:datastoreItem xmlns:ds="http://schemas.openxmlformats.org/officeDocument/2006/customXml" ds:itemID="{F3470B88-795A-4B3A-97C7-E3DA3735EFBA}"/>
</file>

<file path=customXml/itemProps3.xml><?xml version="1.0" encoding="utf-8"?>
<ds:datastoreItem xmlns:ds="http://schemas.openxmlformats.org/officeDocument/2006/customXml" ds:itemID="{1D05E41B-E950-4286-AE84-A9F8266A8807}"/>
</file>

<file path=customXml/itemProps4.xml><?xml version="1.0" encoding="utf-8"?>
<ds:datastoreItem xmlns:ds="http://schemas.openxmlformats.org/officeDocument/2006/customXml" ds:itemID="{AE3799E2-C6B6-4725-91AA-BC3C7B0A6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Hermans</dc:creator>
  <cp:keywords/>
  <dc:description/>
  <cp:lastModifiedBy>Austin Kana - 3ME</cp:lastModifiedBy>
  <cp:revision/>
  <dcterms:created xsi:type="dcterms:W3CDTF">2024-05-15T07:49:42Z</dcterms:created>
  <dcterms:modified xsi:type="dcterms:W3CDTF">2024-11-20T12:18:16Z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0x010100A8114CD240BBCC41A512909F77FBA42A</vt:lpwstr>
  </property>
  <property fmtid="{D5CDD505-2E9C-101B-9397-08002B2CF9AE}" pid="3" name="MediaServiceImageTags">
    <vt:lpwstr/>
  </property>
</Properties>
</file>